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ustomProperty2.bin" ContentType="application/vnd.openxmlformats-officedocument.spreadsheetml.customProperty"/>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compassequity-my.sharepoint.com/personal/btapper_compassdiversified_com/Documents/Desktop/Q1'26/Financial History File/"/>
    </mc:Choice>
  </mc:AlternateContent>
  <xr:revisionPtr revIDLastSave="77" documentId="8_{64924F96-6207-4154-BD0E-918BA1935B99}" xr6:coauthVersionLast="47" xr6:coauthVersionMax="47" xr10:uidLastSave="{0BD553F5-E097-4C32-9BDC-B234B81CA4D4}"/>
  <bookViews>
    <workbookView xWindow="38280" yWindow="-120" windowWidth="29040" windowHeight="15720" xr2:uid="{A62CC254-2D77-4EF7-9BEC-377228FEE95D}"/>
  </bookViews>
  <sheets>
    <sheet name="Condensed Consolidated" sheetId="1" r:id="rId1"/>
    <sheet name="Corporate" sheetId="2" r:id="rId2"/>
    <sheet name="Current Subsidiaries" sheetId="3" r:id="rId3"/>
    <sheet name="Arnold Magnetic" sheetId="5" r:id="rId4"/>
    <sheet name="Sterno Group" sheetId="10" r:id="rId5"/>
    <sheet name="5.11 Tactical" sheetId="11" r:id="rId6"/>
    <sheet name="Velocity Outdoor" sheetId="33" r:id="rId7"/>
    <sheet name="Altor Solutions" sheetId="37" r:id="rId8"/>
    <sheet name="BOA Technology" sheetId="50" r:id="rId9"/>
    <sheet name="PrimaLoft" sheetId="62" r:id="rId10"/>
    <sheet name="THP" sheetId="68" r:id="rId11"/>
    <sheet name="2025 EBITDA" sheetId="70" r:id="rId12"/>
    <sheet name="2024 EBITDA" sheetId="69" r:id="rId13"/>
    <sheet name="2023 EBITDA " sheetId="67" r:id="rId14"/>
    <sheet name="2022 EBITDA" sheetId="63" r:id="rId15"/>
    <sheet name="Discops" sheetId="20" state="hidden" r:id="rId16"/>
    <sheet name="Divested Subsidiaries" sheetId="21" r:id="rId17"/>
    <sheet name="Lugano" sheetId="55" r:id="rId18"/>
    <sheet name="Ergobaby" sheetId="7" r:id="rId19"/>
    <sheet name="Marucci Sports" sheetId="47" r:id="rId20"/>
    <sheet name="Advanced Circuits" sheetId="4" r:id="rId21"/>
    <sheet name="Liberty Safe" sheetId="8" r:id="rId22"/>
    <sheet name="Clean Earth" sheetId="6" r:id="rId23"/>
    <sheet name="Manitoba Harvest" sheetId="9" r:id="rId24"/>
    <sheet name="Tridien" sheetId="22" r:id="rId25"/>
    <sheet name="FOX" sheetId="28" r:id="rId26"/>
    <sheet name="Camelbak" sheetId="25" r:id="rId27"/>
    <sheet name="AFM" sheetId="24" r:id="rId28"/>
    <sheet name="Aeroglide" sheetId="23" r:id="rId29"/>
    <sheet name="Staffmark" sheetId="26" r:id="rId30"/>
    <sheet name="Crosman" sheetId="27" r:id="rId31"/>
    <sheet name="HALO" sheetId="29" r:id="rId32"/>
    <sheet name="Silvue" sheetId="30" r:id="rId33"/>
  </sheets>
  <externalReferences>
    <externalReference r:id="rId34"/>
    <externalReference r:id="rId35"/>
    <externalReference r:id="rId36"/>
    <externalReference r:id="rId37"/>
    <externalReference r:id="rId38"/>
  </externalReferences>
  <definedNames>
    <definedName name="_xlnm.Print_Area" localSheetId="14">'2022 EBITDA'!$A$1:$AB$23</definedName>
    <definedName name="_xlnm.Print_Area" localSheetId="13">'2023 EBITDA '!$A$1:$Z$22</definedName>
    <definedName name="_xlnm.Print_Area" localSheetId="12">'2024 EBITDA'!$A$1:$X$22</definedName>
    <definedName name="_xlnm.Print_Area" localSheetId="11">'2025 EBITDA'!$A$1:$X$23</definedName>
    <definedName name="_xlnm.Print_Area" localSheetId="5">'5.11 Tactical'!$B$1:$CA$61</definedName>
    <definedName name="_xlnm.Print_Area" localSheetId="20">'Advanced Circuits'!$A$1:$EF$72</definedName>
    <definedName name="_xlnm.Print_Area" localSheetId="28">Aeroglide!$A$1:$P$60</definedName>
    <definedName name="_xlnm.Print_Area" localSheetId="27">AFM!$A$1:$BT$61</definedName>
    <definedName name="_xlnm.Print_Area" localSheetId="3">'Arnold Magnetic'!$B$1:$DM$61</definedName>
    <definedName name="_xlnm.Print_Area" localSheetId="26">Camelbak!$A$1:$AN$65</definedName>
    <definedName name="_xlnm.Print_Area" localSheetId="22">'Clean Earth'!$A$1:$AX$68</definedName>
    <definedName name="_xlnm.Print_Area" localSheetId="0">'Condensed Consolidated'!$A$1:$AK$48</definedName>
    <definedName name="_xlnm.Print_Area" localSheetId="1">Corporate!$A$1:$FE$49</definedName>
    <definedName name="_xlnm.Print_Area" localSheetId="30">Crosman!$A$1:$F$60</definedName>
    <definedName name="_xlnm.Print_Area" localSheetId="15">Discops!$A$1:$AE$26</definedName>
    <definedName name="_xlnm.Print_Area" localSheetId="18">Ergobaby!$B$1:$DS$62</definedName>
    <definedName name="_xlnm.Print_Area" localSheetId="25">FOX!$A$1:$BK$64</definedName>
    <definedName name="_xlnm.Print_Area" localSheetId="31">HALO!$A$1:$AV$65</definedName>
    <definedName name="_xlnm.Print_Area" localSheetId="21">'Liberty Safe'!$A$1:$CS$67</definedName>
    <definedName name="_xlnm.Print_Area" localSheetId="23">'Manitoba Harvest'!$A$1:$X$65</definedName>
    <definedName name="_xlnm.Print_Area" localSheetId="32">Silvue!$A$1:$V$60</definedName>
    <definedName name="_xlnm.Print_Area" localSheetId="29">Staffmark!$A$1:$AT$67</definedName>
    <definedName name="_xlnm.Print_Area" localSheetId="4">'Sterno Group'!$B$1:$CW$62</definedName>
    <definedName name="_xlnm.Print_Area" localSheetId="24">Tridien!$A$1:$CK$58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2" l="1"/>
  <c r="D18" i="2"/>
  <c r="B18" i="2"/>
  <c r="FE53" i="2"/>
  <c r="FD53" i="2"/>
  <c r="FC53" i="2"/>
  <c r="FB53" i="2"/>
  <c r="FA53" i="2"/>
  <c r="EY53" i="2"/>
  <c r="EX53" i="2"/>
  <c r="EW53" i="2"/>
  <c r="EV53" i="2"/>
  <c r="EU53" i="2"/>
  <c r="ET53" i="2"/>
  <c r="ES53" i="2"/>
  <c r="EQ53" i="2"/>
  <c r="EP53" i="2"/>
  <c r="EO53" i="2"/>
  <c r="EN53" i="2"/>
  <c r="EM53" i="2"/>
  <c r="EL53" i="2"/>
  <c r="EK53" i="2"/>
  <c r="EI53" i="2"/>
  <c r="EH53" i="2"/>
  <c r="EG53" i="2"/>
  <c r="EF53" i="2"/>
  <c r="EE53" i="2"/>
  <c r="ED53" i="2"/>
  <c r="EC53" i="2"/>
  <c r="EA53" i="2"/>
  <c r="DZ53" i="2"/>
  <c r="DY53" i="2"/>
  <c r="DX53" i="2"/>
  <c r="DW53" i="2"/>
  <c r="DV53" i="2"/>
  <c r="DU53" i="2"/>
  <c r="DS53" i="2"/>
  <c r="DR53" i="2"/>
  <c r="DQ53" i="2"/>
  <c r="DP53" i="2"/>
  <c r="DO53" i="2"/>
  <c r="DN53" i="2"/>
  <c r="DM53" i="2"/>
  <c r="DK53" i="2"/>
  <c r="DJ53" i="2"/>
  <c r="DI53" i="2"/>
  <c r="DH53" i="2"/>
  <c r="DG53" i="2"/>
  <c r="DF53" i="2"/>
  <c r="DE53" i="2"/>
  <c r="DC53" i="2"/>
  <c r="DB53" i="2"/>
  <c r="DA53" i="2"/>
  <c r="CZ53" i="2"/>
  <c r="CY53" i="2"/>
  <c r="CX53" i="2"/>
  <c r="CW53" i="2"/>
  <c r="CU53" i="2"/>
  <c r="CT53" i="2"/>
  <c r="CS53" i="2"/>
  <c r="CR53" i="2"/>
  <c r="CQ53" i="2"/>
  <c r="CP53" i="2"/>
  <c r="CO53" i="2"/>
  <c r="CM53" i="2"/>
  <c r="CL53" i="2"/>
  <c r="CK53" i="2"/>
  <c r="CJ53" i="2"/>
  <c r="CI53" i="2"/>
  <c r="CH53" i="2"/>
  <c r="CG53" i="2"/>
  <c r="CE53" i="2"/>
  <c r="CD53" i="2"/>
  <c r="CC53" i="2"/>
  <c r="CB53" i="2"/>
  <c r="CA53" i="2"/>
  <c r="BZ53" i="2"/>
  <c r="BY53" i="2"/>
  <c r="BW53" i="2"/>
  <c r="BV53" i="2"/>
  <c r="BU53" i="2"/>
  <c r="BT53" i="2"/>
  <c r="BS53" i="2"/>
  <c r="BR53" i="2"/>
  <c r="BQ53" i="2"/>
  <c r="BO53" i="2"/>
  <c r="BN53" i="2"/>
  <c r="BM53" i="2"/>
  <c r="BL53" i="2"/>
  <c r="BK53" i="2"/>
  <c r="BJ53" i="2"/>
  <c r="BI53" i="2"/>
  <c r="BG53" i="2"/>
  <c r="BF53" i="2"/>
  <c r="BE53" i="2"/>
  <c r="BD53" i="2"/>
  <c r="BC53" i="2"/>
  <c r="BB53" i="2"/>
  <c r="BA53" i="2"/>
  <c r="AY53" i="2"/>
  <c r="FE27" i="2"/>
  <c r="FE31" i="2" s="1"/>
  <c r="FE35" i="2" s="1"/>
  <c r="FD27" i="2"/>
  <c r="FC27" i="2"/>
  <c r="FB27" i="2"/>
  <c r="FA27" i="2"/>
  <c r="EY27" i="2"/>
  <c r="EX27" i="2"/>
  <c r="EW27" i="2"/>
  <c r="EV27" i="2"/>
  <c r="EU27" i="2"/>
  <c r="ET27" i="2"/>
  <c r="ES27" i="2"/>
  <c r="EQ27" i="2"/>
  <c r="EQ31" i="2" s="1"/>
  <c r="EQ35" i="2" s="1"/>
  <c r="EP27" i="2"/>
  <c r="EP31" i="2" s="1"/>
  <c r="EP35" i="2" s="1"/>
  <c r="EO27" i="2"/>
  <c r="EO31" i="2" s="1"/>
  <c r="EO35" i="2" s="1"/>
  <c r="EN27" i="2"/>
  <c r="EN31" i="2" s="1"/>
  <c r="EN35" i="2" s="1"/>
  <c r="EM27" i="2"/>
  <c r="EM31" i="2" s="1"/>
  <c r="EM35" i="2" s="1"/>
  <c r="EL27" i="2"/>
  <c r="EL31" i="2" s="1"/>
  <c r="EL35" i="2" s="1"/>
  <c r="EK27" i="2"/>
  <c r="EK31" i="2" s="1"/>
  <c r="EK35" i="2" s="1"/>
  <c r="EI27" i="2"/>
  <c r="EI31" i="2" s="1"/>
  <c r="EI35" i="2" s="1"/>
  <c r="EH27" i="2"/>
  <c r="EH31" i="2" s="1"/>
  <c r="EH35" i="2" s="1"/>
  <c r="EG27" i="2"/>
  <c r="EG31" i="2" s="1"/>
  <c r="EG35" i="2" s="1"/>
  <c r="EF27" i="2"/>
  <c r="EF31" i="2" s="1"/>
  <c r="EF35" i="2" s="1"/>
  <c r="EE27" i="2"/>
  <c r="EE31" i="2" s="1"/>
  <c r="EE35" i="2" s="1"/>
  <c r="ED27" i="2"/>
  <c r="ED31" i="2" s="1"/>
  <c r="ED35" i="2" s="1"/>
  <c r="EC27" i="2"/>
  <c r="EC31" i="2" s="1"/>
  <c r="EC35" i="2" s="1"/>
  <c r="EA27" i="2"/>
  <c r="DZ27" i="2"/>
  <c r="DY27" i="2"/>
  <c r="DX27" i="2"/>
  <c r="DW27" i="2"/>
  <c r="DV27" i="2"/>
  <c r="DU27" i="2"/>
  <c r="DS27" i="2"/>
  <c r="DS31" i="2" s="1"/>
  <c r="DS35" i="2" s="1"/>
  <c r="DR27" i="2"/>
  <c r="DR31" i="2" s="1"/>
  <c r="DR35" i="2" s="1"/>
  <c r="DQ27" i="2"/>
  <c r="DQ31" i="2" s="1"/>
  <c r="DQ35" i="2" s="1"/>
  <c r="DP27" i="2"/>
  <c r="DP31" i="2" s="1"/>
  <c r="DP35" i="2" s="1"/>
  <c r="DO27" i="2"/>
  <c r="DO31" i="2" s="1"/>
  <c r="DO35" i="2" s="1"/>
  <c r="DN27" i="2"/>
  <c r="DN31" i="2" s="1"/>
  <c r="DN35" i="2" s="1"/>
  <c r="DM27" i="2"/>
  <c r="DM31" i="2" s="1"/>
  <c r="DM35" i="2" s="1"/>
  <c r="DK27" i="2"/>
  <c r="DK31" i="2" s="1"/>
  <c r="DK35" i="2" s="1"/>
  <c r="DJ27" i="2"/>
  <c r="DJ31" i="2" s="1"/>
  <c r="DJ35" i="2" s="1"/>
  <c r="DI27" i="2"/>
  <c r="DI31" i="2" s="1"/>
  <c r="DI35" i="2" s="1"/>
  <c r="DH27" i="2"/>
  <c r="DH31" i="2" s="1"/>
  <c r="DH35" i="2" s="1"/>
  <c r="DG27" i="2"/>
  <c r="DG31" i="2" s="1"/>
  <c r="DG35" i="2" s="1"/>
  <c r="DF27" i="2"/>
  <c r="DF31" i="2" s="1"/>
  <c r="DF35" i="2" s="1"/>
  <c r="DE27" i="2"/>
  <c r="DE31" i="2" s="1"/>
  <c r="DE35" i="2" s="1"/>
  <c r="DC27" i="2"/>
  <c r="DB27" i="2"/>
  <c r="DA27" i="2"/>
  <c r="CZ27" i="2"/>
  <c r="CY27" i="2"/>
  <c r="CX27" i="2"/>
  <c r="CW27" i="2"/>
  <c r="CU27" i="2"/>
  <c r="CT27" i="2"/>
  <c r="CS27" i="2"/>
  <c r="CR27" i="2"/>
  <c r="CQ27" i="2"/>
  <c r="CP27" i="2"/>
  <c r="CO27" i="2"/>
  <c r="CM27" i="2"/>
  <c r="CM31" i="2" s="1"/>
  <c r="CM35" i="2" s="1"/>
  <c r="CL27" i="2"/>
  <c r="CL31" i="2" s="1"/>
  <c r="CL35" i="2" s="1"/>
  <c r="CK27" i="2"/>
  <c r="CK31" i="2" s="1"/>
  <c r="CK35" i="2" s="1"/>
  <c r="CJ27" i="2"/>
  <c r="CJ31" i="2" s="1"/>
  <c r="CJ35" i="2" s="1"/>
  <c r="CI27" i="2"/>
  <c r="CI31" i="2" s="1"/>
  <c r="CI35" i="2" s="1"/>
  <c r="CH27" i="2"/>
  <c r="CH31" i="2" s="1"/>
  <c r="CH35" i="2" s="1"/>
  <c r="CG27" i="2"/>
  <c r="CG31" i="2" s="1"/>
  <c r="CG35" i="2" s="1"/>
  <c r="CE27" i="2"/>
  <c r="CE31" i="2" s="1"/>
  <c r="CE35" i="2" s="1"/>
  <c r="CD27" i="2"/>
  <c r="CD31" i="2" s="1"/>
  <c r="CD35" i="2" s="1"/>
  <c r="CC27" i="2"/>
  <c r="CC31" i="2" s="1"/>
  <c r="CC35" i="2" s="1"/>
  <c r="CB27" i="2"/>
  <c r="CB31" i="2" s="1"/>
  <c r="CB35" i="2" s="1"/>
  <c r="CA27" i="2"/>
  <c r="CA31" i="2" s="1"/>
  <c r="CA35" i="2" s="1"/>
  <c r="BZ27" i="2"/>
  <c r="BZ31" i="2" s="1"/>
  <c r="BZ35" i="2" s="1"/>
  <c r="BY27" i="2"/>
  <c r="BY31" i="2" s="1"/>
  <c r="BY35" i="2" s="1"/>
  <c r="BW27" i="2"/>
  <c r="BV27" i="2"/>
  <c r="BU27" i="2"/>
  <c r="BT27" i="2"/>
  <c r="BS27" i="2"/>
  <c r="BR27" i="2"/>
  <c r="BQ27" i="2"/>
  <c r="BO27" i="2"/>
  <c r="BN27" i="2"/>
  <c r="BM27" i="2"/>
  <c r="BL27" i="2"/>
  <c r="BK27" i="2"/>
  <c r="BJ27" i="2"/>
  <c r="BI27" i="2"/>
  <c r="BA27" i="2"/>
  <c r="BG27" i="2"/>
  <c r="BG31" i="2" s="1"/>
  <c r="BG35" i="2" s="1"/>
  <c r="BF27" i="2"/>
  <c r="BF31" i="2" s="1"/>
  <c r="BF35" i="2" s="1"/>
  <c r="BE27" i="2"/>
  <c r="BE31" i="2" s="1"/>
  <c r="BE35" i="2" s="1"/>
  <c r="BD27" i="2"/>
  <c r="BD31" i="2" s="1"/>
  <c r="BD35" i="2" s="1"/>
  <c r="BC27" i="2"/>
  <c r="BC31" i="2" s="1"/>
  <c r="BC35" i="2" s="1"/>
  <c r="BB27" i="2"/>
  <c r="BB31" i="2" s="1"/>
  <c r="BB35" i="2" s="1"/>
  <c r="BA31" i="2"/>
  <c r="BA35" i="2" s="1"/>
  <c r="AS27" i="2"/>
  <c r="AS31" i="2" s="1"/>
  <c r="AS35" i="2" s="1"/>
  <c r="AY27" i="2"/>
  <c r="AX27" i="2"/>
  <c r="AW27" i="2"/>
  <c r="AV27" i="2"/>
  <c r="AU27" i="2"/>
  <c r="AT27" i="2"/>
  <c r="AK27" i="2"/>
  <c r="AQ27" i="2"/>
  <c r="AP27" i="2"/>
  <c r="AO27" i="2"/>
  <c r="AN27" i="2"/>
  <c r="AM27" i="2"/>
  <c r="AL27" i="2"/>
  <c r="AB27" i="2"/>
  <c r="BO31" i="2"/>
  <c r="BO35" i="2" s="1"/>
  <c r="BN31" i="2"/>
  <c r="BN35" i="2" s="1"/>
  <c r="BM31" i="2"/>
  <c r="BM35" i="2" s="1"/>
  <c r="BL31" i="2"/>
  <c r="BL35" i="2" s="1"/>
  <c r="BK31" i="2"/>
  <c r="BK35" i="2" s="1"/>
  <c r="BJ31" i="2"/>
  <c r="BJ35" i="2" s="1"/>
  <c r="BI31" i="2"/>
  <c r="BI35" i="2" s="1"/>
  <c r="AQ31" i="2"/>
  <c r="AQ35" i="2" s="1"/>
  <c r="AP31" i="2"/>
  <c r="AP35" i="2" s="1"/>
  <c r="AO31" i="2"/>
  <c r="AO35" i="2" s="1"/>
  <c r="AN31" i="2"/>
  <c r="AN35" i="2" s="1"/>
  <c r="AM31" i="2"/>
  <c r="AM35" i="2" s="1"/>
  <c r="AL31" i="2"/>
  <c r="AL35" i="2" s="1"/>
  <c r="AK31" i="2"/>
  <c r="AK35" i="2" s="1"/>
  <c r="AK53" i="2"/>
  <c r="EA35" i="2"/>
  <c r="FD31" i="2"/>
  <c r="FD35" i="2" s="1"/>
  <c r="FC31" i="2"/>
  <c r="FC35" i="2" s="1"/>
  <c r="FB31" i="2"/>
  <c r="FB35" i="2" s="1"/>
  <c r="FA31" i="2"/>
  <c r="FA35" i="2" s="1"/>
  <c r="EY31" i="2"/>
  <c r="EY35" i="2" s="1"/>
  <c r="EX31" i="2"/>
  <c r="EX35" i="2" s="1"/>
  <c r="EW31" i="2"/>
  <c r="EW35" i="2" s="1"/>
  <c r="EV31" i="2"/>
  <c r="EV35" i="2" s="1"/>
  <c r="EU31" i="2"/>
  <c r="EU35" i="2" s="1"/>
  <c r="ET31" i="2"/>
  <c r="ET35" i="2" s="1"/>
  <c r="ES31" i="2"/>
  <c r="ES35" i="2" s="1"/>
  <c r="EA31" i="2"/>
  <c r="DZ31" i="2"/>
  <c r="DZ35" i="2" s="1"/>
  <c r="DY31" i="2"/>
  <c r="DY35" i="2" s="1"/>
  <c r="DX31" i="2"/>
  <c r="DX35" i="2" s="1"/>
  <c r="DW31" i="2"/>
  <c r="DW35" i="2" s="1"/>
  <c r="DV31" i="2"/>
  <c r="DV35" i="2" s="1"/>
  <c r="DU31" i="2"/>
  <c r="DU35" i="2" s="1"/>
  <c r="DC31" i="2"/>
  <c r="DC35" i="2" s="1"/>
  <c r="DB31" i="2"/>
  <c r="DB35" i="2" s="1"/>
  <c r="DA31" i="2"/>
  <c r="DA35" i="2" s="1"/>
  <c r="CZ31" i="2"/>
  <c r="CZ35" i="2" s="1"/>
  <c r="CY31" i="2"/>
  <c r="CY35" i="2" s="1"/>
  <c r="CX31" i="2"/>
  <c r="CX35" i="2" s="1"/>
  <c r="CW31" i="2"/>
  <c r="CW35" i="2" s="1"/>
  <c r="CU31" i="2"/>
  <c r="CU35" i="2" s="1"/>
  <c r="CT31" i="2"/>
  <c r="CT35" i="2" s="1"/>
  <c r="CS31" i="2"/>
  <c r="CS35" i="2" s="1"/>
  <c r="CR31" i="2"/>
  <c r="CR35" i="2" s="1"/>
  <c r="CQ31" i="2"/>
  <c r="CQ35" i="2" s="1"/>
  <c r="CP31" i="2"/>
  <c r="CP35" i="2" s="1"/>
  <c r="CO31" i="2"/>
  <c r="CO35" i="2" s="1"/>
  <c r="BW31" i="2"/>
  <c r="BW35" i="2" s="1"/>
  <c r="BV31" i="2"/>
  <c r="BV35" i="2" s="1"/>
  <c r="BU31" i="2"/>
  <c r="BU35" i="2" s="1"/>
  <c r="BT31" i="2"/>
  <c r="BT35" i="2" s="1"/>
  <c r="BS31" i="2"/>
  <c r="BS35" i="2" s="1"/>
  <c r="BR31" i="2"/>
  <c r="BR35" i="2" s="1"/>
  <c r="BQ31" i="2"/>
  <c r="BQ35" i="2" s="1"/>
  <c r="AY31" i="2"/>
  <c r="AY35" i="2" s="1"/>
  <c r="AX31" i="2"/>
  <c r="AX35" i="2" s="1"/>
  <c r="AW31" i="2"/>
  <c r="AW35" i="2" s="1"/>
  <c r="AV31" i="2"/>
  <c r="AV35" i="2" s="1"/>
  <c r="AU31" i="2"/>
  <c r="AU35" i="2" s="1"/>
  <c r="AT31" i="2"/>
  <c r="AT35" i="2" s="1"/>
  <c r="AJ29" i="1"/>
  <c r="AG25" i="55"/>
  <c r="AI25" i="55"/>
  <c r="AG53" i="2"/>
  <c r="AG52" i="2"/>
  <c r="Y26" i="2"/>
  <c r="W26" i="2"/>
  <c r="U26" i="2"/>
  <c r="T29" i="1"/>
  <c r="R26" i="2"/>
  <c r="T25" i="1"/>
  <c r="Q26" i="2"/>
  <c r="Q29" i="1"/>
  <c r="Q13" i="1"/>
  <c r="R29" i="1"/>
  <c r="O26" i="2"/>
  <c r="Q25" i="1" s="1"/>
  <c r="P26" i="2"/>
  <c r="R25" i="1"/>
  <c r="R19" i="1"/>
  <c r="N23" i="2"/>
  <c r="P25" i="1"/>
  <c r="O29" i="1"/>
  <c r="M26" i="2"/>
  <c r="N26" i="2"/>
  <c r="L26" i="2"/>
  <c r="N25" i="1"/>
  <c r="T39" i="1"/>
  <c r="D15" i="1"/>
  <c r="AH46" i="2"/>
  <c r="AH43" i="2"/>
  <c r="AH27" i="2"/>
  <c r="AK30" i="10"/>
  <c r="AK24" i="11"/>
  <c r="AK29" i="50"/>
  <c r="AH29" i="62"/>
  <c r="AE24" i="62"/>
  <c r="AH25" i="1"/>
  <c r="AJ25" i="1"/>
  <c r="AJ21" i="1"/>
  <c r="AH26" i="2"/>
  <c r="AJ27" i="1"/>
  <c r="AJ26" i="1"/>
  <c r="AH21" i="1"/>
  <c r="AJ19" i="1"/>
  <c r="AJ17" i="1"/>
  <c r="AJ15" i="1"/>
  <c r="AJ13" i="1"/>
  <c r="AJ12" i="1"/>
  <c r="AJ23" i="1"/>
  <c r="AJ18" i="1"/>
  <c r="AJ16" i="1"/>
  <c r="AJ14" i="1"/>
  <c r="AH29" i="1"/>
  <c r="AF26" i="2"/>
  <c r="AH15" i="1"/>
  <c r="AH27" i="1"/>
  <c r="AH26" i="1"/>
  <c r="AI21" i="37"/>
  <c r="AI25" i="37" s="1"/>
  <c r="AH19" i="1" s="1"/>
  <c r="AG22" i="2"/>
  <c r="AE22" i="2"/>
  <c r="AH23" i="1"/>
  <c r="AH16" i="1"/>
  <c r="AI16" i="1" s="1"/>
  <c r="AH14" i="1"/>
  <c r="AH18" i="1"/>
  <c r="AH17" i="1"/>
  <c r="AI17" i="1" s="1"/>
  <c r="AH13" i="1"/>
  <c r="AH12" i="1"/>
  <c r="AI12" i="1" s="1"/>
  <c r="AF27" i="1"/>
  <c r="AF26" i="1"/>
  <c r="AF25" i="1"/>
  <c r="AD26" i="2"/>
  <c r="AF21" i="1"/>
  <c r="AF19" i="1"/>
  <c r="AK25" i="37"/>
  <c r="AG25" i="37"/>
  <c r="AG23" i="37"/>
  <c r="AG21" i="37"/>
  <c r="AF14" i="1"/>
  <c r="AF18" i="1"/>
  <c r="AF17" i="1"/>
  <c r="AF16" i="1"/>
  <c r="AF15" i="1"/>
  <c r="AF13" i="1"/>
  <c r="AF12" i="1"/>
  <c r="AF31" i="1"/>
  <c r="AD31" i="1"/>
  <c r="AD27" i="1"/>
  <c r="AD26" i="1"/>
  <c r="AD25" i="1"/>
  <c r="AB26" i="2"/>
  <c r="AB19" i="2"/>
  <c r="AB20" i="2"/>
  <c r="AE23" i="37"/>
  <c r="AE25" i="37" s="1"/>
  <c r="AD19" i="1" s="1"/>
  <c r="AE21" i="37"/>
  <c r="W25" i="37"/>
  <c r="O25" i="37"/>
  <c r="AI14" i="1" l="1"/>
  <c r="AI26" i="1"/>
  <c r="AI27" i="1"/>
  <c r="AI19" i="1"/>
  <c r="AI13" i="1"/>
  <c r="AI18" i="1"/>
  <c r="AI23" i="1"/>
  <c r="AG23" i="1"/>
  <c r="AI25" i="1"/>
  <c r="AI21" i="1"/>
  <c r="AI15" i="1"/>
  <c r="AJ22" i="1" l="1"/>
  <c r="AJ52" i="1" s="1"/>
  <c r="AF22" i="1"/>
  <c r="AG22" i="1"/>
  <c r="AH22" i="1"/>
  <c r="AH52" i="1" s="1"/>
  <c r="AE22" i="1"/>
  <c r="AD22" i="1"/>
  <c r="AI22" i="1" l="1"/>
  <c r="AD18" i="1"/>
  <c r="AD17" i="1"/>
  <c r="AD16" i="1"/>
  <c r="AD15" i="1"/>
  <c r="AD14" i="1"/>
  <c r="AD13" i="1"/>
  <c r="AD12" i="1"/>
  <c r="AB21" i="1"/>
  <c r="Z19" i="2"/>
  <c r="U19" i="2"/>
  <c r="AB25" i="1"/>
  <c r="Z26" i="2"/>
  <c r="AB27" i="1"/>
  <c r="AB15" i="1"/>
  <c r="AB14" i="1"/>
  <c r="AB19" i="1"/>
  <c r="AB17" i="1"/>
  <c r="AB16" i="1"/>
  <c r="AB13" i="1"/>
  <c r="AB12" i="1"/>
  <c r="Z36" i="1"/>
  <c r="Z29" i="1"/>
  <c r="Z27" i="1"/>
  <c r="Z25" i="1"/>
  <c r="X26" i="2"/>
  <c r="X27" i="2"/>
  <c r="W27" i="2"/>
  <c r="U27" i="2"/>
  <c r="Z19" i="1"/>
  <c r="Z15" i="1"/>
  <c r="Z21" i="1"/>
  <c r="Z17" i="1"/>
  <c r="Z16" i="1"/>
  <c r="Z14" i="1"/>
  <c r="Z13" i="1"/>
  <c r="Z12" i="1"/>
  <c r="X29" i="1"/>
  <c r="AB26" i="1"/>
  <c r="Z26" i="1"/>
  <c r="X26" i="1"/>
  <c r="V27" i="2"/>
  <c r="W24" i="55"/>
  <c r="W29" i="55"/>
  <c r="Z18" i="2"/>
  <c r="Y18" i="2"/>
  <c r="X18" i="2"/>
  <c r="W18" i="2"/>
  <c r="V18" i="2"/>
  <c r="X19" i="1"/>
  <c r="T18" i="2"/>
  <c r="X15" i="1"/>
  <c r="X27" i="1"/>
  <c r="V26" i="2"/>
  <c r="X25" i="1" s="1"/>
  <c r="X14" i="1"/>
  <c r="W22" i="1"/>
  <c r="X21" i="1"/>
  <c r="X17" i="1"/>
  <c r="X16" i="1"/>
  <c r="X13" i="1"/>
  <c r="X12" i="1"/>
  <c r="X46" i="2"/>
  <c r="V46" i="2"/>
  <c r="Z46" i="2"/>
  <c r="AB46" i="2"/>
  <c r="AC46" i="2"/>
  <c r="AF46" i="2"/>
  <c r="AG51" i="55"/>
  <c r="AG53" i="55"/>
  <c r="AG47" i="55"/>
  <c r="AE53" i="55"/>
  <c r="AE51" i="55"/>
  <c r="AE47" i="55"/>
  <c r="AC53" i="55"/>
  <c r="AC51" i="55"/>
  <c r="AC47" i="55"/>
  <c r="AI53" i="55"/>
  <c r="AI51" i="55"/>
  <c r="AI47" i="55"/>
  <c r="AA53" i="55"/>
  <c r="AA51" i="55"/>
  <c r="AA47" i="55"/>
  <c r="Y53" i="55"/>
  <c r="Y51" i="55"/>
  <c r="Y47" i="55"/>
  <c r="W53" i="55"/>
  <c r="W51" i="55"/>
  <c r="W47" i="55"/>
  <c r="V46" i="1"/>
  <c r="V44" i="1"/>
  <c r="V43" i="1"/>
  <c r="T44" i="2"/>
  <c r="T39" i="2"/>
  <c r="V39" i="1" s="1"/>
  <c r="V41" i="1"/>
  <c r="T46" i="2"/>
  <c r="U53" i="55"/>
  <c r="U51" i="55"/>
  <c r="U47" i="55"/>
  <c r="X36" i="1"/>
  <c r="V36" i="1"/>
  <c r="T34" i="2"/>
  <c r="T29" i="2"/>
  <c r="V31" i="1" s="1"/>
  <c r="X31" i="1"/>
  <c r="V25" i="1"/>
  <c r="T26" i="2"/>
  <c r="V26" i="1"/>
  <c r="V16" i="1"/>
  <c r="V15" i="1"/>
  <c r="V14" i="1"/>
  <c r="V12" i="1"/>
  <c r="V27" i="1"/>
  <c r="Y27" i="1" l="1"/>
  <c r="Y25" i="1"/>
  <c r="T27" i="2"/>
  <c r="V29" i="1" s="1"/>
  <c r="T43" i="2"/>
  <c r="X22" i="1" l="1"/>
  <c r="Y22" i="1"/>
  <c r="Z22" i="1"/>
  <c r="AA22" i="1"/>
  <c r="AB22" i="1"/>
  <c r="V22" i="1"/>
  <c r="V21" i="1"/>
  <c r="V19" i="1"/>
  <c r="V18" i="1"/>
  <c r="V17" i="1"/>
  <c r="V13" i="1"/>
  <c r="S53" i="55"/>
  <c r="R46" i="2"/>
  <c r="T44" i="1"/>
  <c r="T26" i="1"/>
  <c r="T22" i="1"/>
  <c r="S22" i="1"/>
  <c r="R21" i="2"/>
  <c r="T19" i="1"/>
  <c r="T16" i="1"/>
  <c r="R27" i="1"/>
  <c r="R26" i="1"/>
  <c r="P23" i="2"/>
  <c r="R22" i="1"/>
  <c r="R21" i="1"/>
  <c r="R18" i="1"/>
  <c r="R17" i="1"/>
  <c r="R16" i="1"/>
  <c r="R15" i="1"/>
  <c r="R14" i="1"/>
  <c r="R13" i="1"/>
  <c r="R12" i="1"/>
  <c r="O33" i="2"/>
  <c r="T31" i="1"/>
  <c r="R36" i="1"/>
  <c r="R31" i="1"/>
  <c r="Q36" i="1"/>
  <c r="Q26" i="1"/>
  <c r="Q27" i="1"/>
  <c r="O27" i="2"/>
  <c r="Q19" i="1"/>
  <c r="Q15" i="1"/>
  <c r="Q14" i="1"/>
  <c r="Q51" i="1" s="1"/>
  <c r="Q22" i="1"/>
  <c r="Q21" i="1"/>
  <c r="Q18" i="1"/>
  <c r="Q17" i="1"/>
  <c r="Q16" i="1"/>
  <c r="Q12" i="1"/>
  <c r="Q50" i="1" s="1"/>
  <c r="P46" i="2"/>
  <c r="Q53" i="55"/>
  <c r="Q51" i="55"/>
  <c r="Q47" i="55"/>
  <c r="N46" i="2"/>
  <c r="O51" i="55"/>
  <c r="O47" i="55"/>
  <c r="M53" i="55"/>
  <c r="M69" i="55"/>
  <c r="M51" i="55"/>
  <c r="M47" i="55"/>
  <c r="M50" i="55"/>
  <c r="O53" i="55"/>
  <c r="P46" i="1"/>
  <c r="P44" i="1"/>
  <c r="P39" i="1"/>
  <c r="P17" i="1"/>
  <c r="P15" i="1"/>
  <c r="N27" i="2"/>
  <c r="P19" i="1"/>
  <c r="P27" i="1"/>
  <c r="P26" i="1"/>
  <c r="P22" i="1"/>
  <c r="P21" i="1"/>
  <c r="P18" i="1"/>
  <c r="P16" i="1"/>
  <c r="P14" i="1"/>
  <c r="P13" i="1"/>
  <c r="P12" i="1"/>
  <c r="P36" i="1"/>
  <c r="O22" i="1"/>
  <c r="M27" i="2"/>
  <c r="P31" i="1"/>
  <c r="N36" i="1"/>
  <c r="N31" i="1"/>
  <c r="M31" i="2" l="1"/>
  <c r="V52" i="1"/>
  <c r="W17" i="1"/>
  <c r="O31" i="1"/>
  <c r="O26" i="1" l="1"/>
  <c r="N22" i="1"/>
  <c r="L55" i="2"/>
  <c r="M23" i="2"/>
  <c r="O24" i="1"/>
  <c r="O25" i="1" s="1"/>
  <c r="O19" i="1" l="1"/>
  <c r="O14" i="1"/>
  <c r="O13" i="1"/>
  <c r="O27" i="1"/>
  <c r="O21" i="1"/>
  <c r="O18" i="1"/>
  <c r="O17" i="1"/>
  <c r="O16" i="1"/>
  <c r="O15" i="1"/>
  <c r="O12" i="1"/>
  <c r="O52" i="1" l="1"/>
  <c r="L46" i="2" l="1"/>
  <c r="N39" i="1" l="1"/>
  <c r="AS53" i="2"/>
  <c r="AX53" i="2"/>
  <c r="AW53" i="2"/>
  <c r="AV53" i="2"/>
  <c r="AU53" i="2"/>
  <c r="AT53" i="2"/>
  <c r="AQ53" i="2"/>
  <c r="AP53" i="2"/>
  <c r="AO53" i="2"/>
  <c r="AN53" i="2"/>
  <c r="AM53" i="2"/>
  <c r="AL53" i="2"/>
  <c r="AH53" i="2"/>
  <c r="AF27" i="2"/>
  <c r="AF53" i="2" s="1"/>
  <c r="AD27" i="2"/>
  <c r="Z27" i="2"/>
  <c r="V53" i="2"/>
  <c r="T53" i="2"/>
  <c r="R27" i="2"/>
  <c r="P27" i="2"/>
  <c r="N53" i="2"/>
  <c r="L27" i="2"/>
  <c r="N19" i="1"/>
  <c r="N17" i="1"/>
  <c r="N15" i="1"/>
  <c r="L29" i="1"/>
  <c r="J46" i="1"/>
  <c r="J44" i="1"/>
  <c r="J39" i="1"/>
  <c r="J29" i="1"/>
  <c r="J21" i="1"/>
  <c r="J15" i="1"/>
  <c r="I29" i="1"/>
  <c r="I25" i="1"/>
  <c r="I21" i="1"/>
  <c r="I19" i="1"/>
  <c r="I17" i="1"/>
  <c r="I16" i="1"/>
  <c r="I15" i="1"/>
  <c r="I14" i="1"/>
  <c r="I13" i="1"/>
  <c r="R53" i="2" l="1"/>
  <c r="P53" i="2"/>
  <c r="L53" i="2"/>
  <c r="N29" i="1"/>
  <c r="Z31" i="2"/>
  <c r="AB29" i="1"/>
  <c r="AD53" i="2"/>
  <c r="AF29" i="1"/>
  <c r="AB53" i="2"/>
  <c r="AD29" i="1"/>
  <c r="Z53" i="2"/>
  <c r="X53" i="2"/>
  <c r="H46" i="1"/>
  <c r="H44" i="1"/>
  <c r="H39" i="1"/>
  <c r="H19" i="1"/>
  <c r="H25" i="1"/>
  <c r="E27" i="2"/>
  <c r="G22" i="1"/>
  <c r="AH31" i="2"/>
  <c r="AH35" i="2" s="1"/>
  <c r="AF31" i="2"/>
  <c r="AF35" i="2" s="1"/>
  <c r="AD31" i="2"/>
  <c r="AD35" i="2" s="1"/>
  <c r="AB31" i="2"/>
  <c r="AB35" i="2" s="1"/>
  <c r="Z35" i="2"/>
  <c r="X31" i="2"/>
  <c r="X35" i="2" s="1"/>
  <c r="V31" i="2"/>
  <c r="V35" i="2" s="1"/>
  <c r="T31" i="2"/>
  <c r="T35" i="2" s="1"/>
  <c r="R31" i="2"/>
  <c r="R35" i="2" s="1"/>
  <c r="P31" i="2"/>
  <c r="P35" i="2" s="1"/>
  <c r="N31" i="2"/>
  <c r="N35" i="2" s="1"/>
  <c r="L31" i="2"/>
  <c r="L35" i="2" s="1"/>
  <c r="J35" i="2"/>
  <c r="G35" i="2"/>
  <c r="H35" i="2"/>
  <c r="I35" i="2"/>
  <c r="J31" i="2"/>
  <c r="G31" i="2"/>
  <c r="H31" i="2"/>
  <c r="I31" i="2"/>
  <c r="D27" i="2"/>
  <c r="B27" i="2"/>
  <c r="F29" i="1" l="1"/>
  <c r="D31" i="2"/>
  <c r="D35" i="2" s="1"/>
  <c r="B31" i="2"/>
  <c r="B35" i="2" s="1"/>
  <c r="B53" i="2"/>
  <c r="G27" i="1"/>
  <c r="I23" i="1"/>
  <c r="J23" i="1"/>
  <c r="K23" i="1"/>
  <c r="L23" i="1"/>
  <c r="H23" i="1"/>
  <c r="G23" i="1"/>
  <c r="H22" i="1"/>
  <c r="I22" i="1"/>
  <c r="J22" i="1"/>
  <c r="K22" i="1"/>
  <c r="L22" i="1"/>
  <c r="H21" i="1" l="1"/>
  <c r="G21" i="1"/>
  <c r="G16" i="1"/>
  <c r="H15" i="1"/>
  <c r="G15" i="1" l="1"/>
  <c r="D25" i="1"/>
  <c r="D22" i="1"/>
  <c r="F44" i="1" l="1"/>
  <c r="F39" i="1"/>
  <c r="E51" i="55"/>
  <c r="E69" i="55" s="1"/>
  <c r="E47" i="55"/>
  <c r="F27" i="1" l="1"/>
  <c r="F25" i="1"/>
  <c r="G25" i="1" s="1"/>
  <c r="F22" i="1"/>
  <c r="F17" i="1"/>
  <c r="F16" i="1"/>
  <c r="F15" i="1"/>
  <c r="F13" i="1"/>
  <c r="L20" i="2" l="1"/>
  <c r="N27" i="1" l="1"/>
  <c r="N26" i="1"/>
  <c r="N21" i="1"/>
  <c r="N52" i="1" s="1"/>
  <c r="N18" i="1"/>
  <c r="N16" i="1"/>
  <c r="N13" i="1"/>
  <c r="N12" i="1"/>
  <c r="D46" i="1"/>
  <c r="D44" i="1"/>
  <c r="E52" i="37"/>
  <c r="E51" i="37"/>
  <c r="E48" i="37"/>
  <c r="E50" i="33"/>
  <c r="E68" i="33" s="1"/>
  <c r="E51" i="33"/>
  <c r="E47" i="33"/>
  <c r="D47" i="1"/>
  <c r="D42" i="1"/>
  <c r="D39" i="1"/>
  <c r="D48" i="1" l="1"/>
  <c r="D54" i="1" s="1"/>
  <c r="J55" i="2"/>
  <c r="B55" i="2"/>
  <c r="B41" i="2"/>
  <c r="B43" i="2" l="1"/>
  <c r="D43" i="1" s="1"/>
  <c r="D41" i="1"/>
  <c r="D32" i="1" l="1"/>
  <c r="D28" i="1"/>
  <c r="D36" i="1"/>
  <c r="D31" i="1"/>
  <c r="D35" i="1"/>
  <c r="D27" i="1"/>
  <c r="D26" i="1"/>
  <c r="D21" i="1"/>
  <c r="D53" i="1"/>
  <c r="D16" i="1"/>
  <c r="D17" i="1"/>
  <c r="D18" i="1"/>
  <c r="D13" i="1"/>
  <c r="D12" i="1"/>
  <c r="E39" i="62" l="1"/>
  <c r="E44" i="37"/>
  <c r="E69" i="68" l="1"/>
  <c r="E68" i="68"/>
  <c r="E33" i="68"/>
  <c r="E32" i="68"/>
  <c r="E31" i="68"/>
  <c r="E19" i="68"/>
  <c r="E24" i="68" s="1"/>
  <c r="E29" i="68" s="1"/>
  <c r="E69" i="62"/>
  <c r="E68" i="62"/>
  <c r="E33" i="62"/>
  <c r="E32" i="62"/>
  <c r="E31" i="62"/>
  <c r="E19" i="62"/>
  <c r="E24" i="62" s="1"/>
  <c r="E64" i="62" s="1"/>
  <c r="E69" i="50"/>
  <c r="E68" i="50"/>
  <c r="E33" i="50"/>
  <c r="E32" i="50"/>
  <c r="E31" i="50"/>
  <c r="E19" i="50"/>
  <c r="E63" i="50" s="1"/>
  <c r="E31" i="33"/>
  <c r="E70" i="37"/>
  <c r="E69" i="37"/>
  <c r="E34" i="37"/>
  <c r="E33" i="37"/>
  <c r="E32" i="37"/>
  <c r="E20" i="37"/>
  <c r="E25" i="37" s="1"/>
  <c r="E30" i="37" s="1"/>
  <c r="E69" i="33"/>
  <c r="E19" i="33"/>
  <c r="E24" i="33" s="1"/>
  <c r="E69" i="11"/>
  <c r="E68" i="11"/>
  <c r="E33" i="11"/>
  <c r="E32" i="11"/>
  <c r="E31" i="11"/>
  <c r="E19" i="11"/>
  <c r="E63" i="11" s="1"/>
  <c r="E70" i="10"/>
  <c r="E69" i="10"/>
  <c r="E34" i="10"/>
  <c r="E33" i="10"/>
  <c r="E32" i="10"/>
  <c r="E20" i="10"/>
  <c r="E25" i="10" s="1"/>
  <c r="E64" i="10" l="1"/>
  <c r="E37" i="37"/>
  <c r="E36" i="68"/>
  <c r="E44" i="68" s="1"/>
  <c r="E67" i="68" s="1"/>
  <c r="E63" i="68"/>
  <c r="E66" i="68"/>
  <c r="E64" i="68"/>
  <c r="E65" i="68"/>
  <c r="E63" i="62"/>
  <c r="E24" i="50"/>
  <c r="E64" i="50" s="1"/>
  <c r="E64" i="37"/>
  <c r="E65" i="37"/>
  <c r="E29" i="33"/>
  <c r="E36" i="33" s="1"/>
  <c r="E63" i="33"/>
  <c r="E64" i="33"/>
  <c r="E24" i="11"/>
  <c r="E29" i="11" s="1"/>
  <c r="E36" i="11" s="1"/>
  <c r="E44" i="11" s="1"/>
  <c r="E67" i="11" s="1"/>
  <c r="E30" i="10"/>
  <c r="E37" i="10" s="1"/>
  <c r="E65" i="10"/>
  <c r="E69" i="5"/>
  <c r="E68" i="5"/>
  <c r="E33" i="5"/>
  <c r="E32" i="5"/>
  <c r="E31" i="5"/>
  <c r="E19" i="5"/>
  <c r="B51" i="2"/>
  <c r="D29" i="1" l="1"/>
  <c r="D33" i="1" s="1"/>
  <c r="D37" i="1" s="1"/>
  <c r="E24" i="5"/>
  <c r="D14" i="1"/>
  <c r="D50" i="1" s="1"/>
  <c r="E63" i="5"/>
  <c r="D19" i="1"/>
  <c r="D52" i="1" s="1"/>
  <c r="E29" i="62"/>
  <c r="E36" i="62" s="1"/>
  <c r="E29" i="50"/>
  <c r="E36" i="50" s="1"/>
  <c r="E44" i="50" s="1"/>
  <c r="E67" i="50" s="1"/>
  <c r="E66" i="37"/>
  <c r="E45" i="37"/>
  <c r="E68" i="37" s="1"/>
  <c r="E67" i="37"/>
  <c r="E66" i="33"/>
  <c r="E44" i="33"/>
  <c r="E67" i="33" s="1"/>
  <c r="E65" i="33"/>
  <c r="E66" i="11"/>
  <c r="E64" i="11"/>
  <c r="E65" i="11"/>
  <c r="E66" i="10"/>
  <c r="E67" i="10"/>
  <c r="E45" i="10"/>
  <c r="E68" i="10" s="1"/>
  <c r="E29" i="5"/>
  <c r="E36" i="5" s="1"/>
  <c r="E64" i="5"/>
  <c r="B54" i="2"/>
  <c r="B52" i="2"/>
  <c r="D51" i="1" l="1"/>
  <c r="E66" i="62"/>
  <c r="E44" i="62"/>
  <c r="E67" i="62" s="1"/>
  <c r="E65" i="62"/>
  <c r="E65" i="50"/>
  <c r="E66" i="50"/>
  <c r="E66" i="5"/>
  <c r="E44" i="5"/>
  <c r="E67" i="5" s="1"/>
  <c r="E65" i="5"/>
  <c r="W12" i="70" l="1"/>
  <c r="C14" i="70"/>
  <c r="L44" i="1"/>
  <c r="L39" i="1"/>
  <c r="L27" i="1"/>
  <c r="L13" i="1"/>
  <c r="L12" i="1"/>
  <c r="J16" i="1"/>
  <c r="L16" i="1"/>
  <c r="L15" i="1"/>
  <c r="J17" i="1"/>
  <c r="L17" i="1"/>
  <c r="V21" i="70"/>
  <c r="T21" i="70"/>
  <c r="R21" i="70"/>
  <c r="P21" i="70"/>
  <c r="L21" i="70"/>
  <c r="J21" i="70"/>
  <c r="H21" i="70"/>
  <c r="F21" i="70"/>
  <c r="W20" i="70"/>
  <c r="W19" i="70"/>
  <c r="W18" i="70"/>
  <c r="W17" i="70"/>
  <c r="W16" i="70"/>
  <c r="W15" i="70"/>
  <c r="U14" i="70"/>
  <c r="S14" i="70"/>
  <c r="Q14" i="70"/>
  <c r="O14" i="70"/>
  <c r="M14" i="70"/>
  <c r="K14" i="70"/>
  <c r="I14" i="70"/>
  <c r="G14" i="70"/>
  <c r="E14" i="70"/>
  <c r="W13" i="70"/>
  <c r="W11" i="70"/>
  <c r="W10" i="70"/>
  <c r="W9" i="70"/>
  <c r="W7" i="70"/>
  <c r="AB31" i="1"/>
  <c r="AI50" i="55"/>
  <c r="AI68" i="55" s="1"/>
  <c r="AA50" i="55"/>
  <c r="AA69" i="55"/>
  <c r="S51" i="55"/>
  <c r="S50" i="55" s="1"/>
  <c r="S47" i="55"/>
  <c r="D48" i="2"/>
  <c r="F46" i="1" s="1"/>
  <c r="Q24" i="2"/>
  <c r="Q34" i="2"/>
  <c r="Q29" i="2"/>
  <c r="AB18" i="1"/>
  <c r="V35" i="1"/>
  <c r="N35" i="1"/>
  <c r="R35" i="1"/>
  <c r="S43" i="55"/>
  <c r="S25" i="55"/>
  <c r="R25" i="55" s="1"/>
  <c r="AI43" i="55"/>
  <c r="AA43" i="55"/>
  <c r="AA34" i="55"/>
  <c r="AA25" i="55"/>
  <c r="Z34" i="55"/>
  <c r="X21" i="55"/>
  <c r="X20" i="55"/>
  <c r="X43" i="55"/>
  <c r="M29" i="67"/>
  <c r="AE25" i="55"/>
  <c r="AC43" i="55"/>
  <c r="AE43" i="55" s="1"/>
  <c r="AG43" i="55" s="1"/>
  <c r="Z20" i="55"/>
  <c r="W34" i="55"/>
  <c r="Y34" i="55"/>
  <c r="X34" i="55"/>
  <c r="W43" i="55"/>
  <c r="Z43" i="55" s="1"/>
  <c r="W38" i="55"/>
  <c r="V38" i="55"/>
  <c r="W25" i="55"/>
  <c r="Z25" i="55" s="1"/>
  <c r="P43" i="55"/>
  <c r="Q25" i="55"/>
  <c r="N43" i="55"/>
  <c r="M43" i="55"/>
  <c r="O43" i="55" s="1"/>
  <c r="AI33" i="55"/>
  <c r="AG33" i="55"/>
  <c r="AE33" i="55"/>
  <c r="AC33" i="55"/>
  <c r="AI32" i="55"/>
  <c r="AG32" i="55"/>
  <c r="AE32" i="55"/>
  <c r="AC32" i="55"/>
  <c r="AA33" i="55"/>
  <c r="Y33" i="55"/>
  <c r="W33" i="55"/>
  <c r="U33" i="55"/>
  <c r="AA32" i="55"/>
  <c r="Y32" i="55"/>
  <c r="W32" i="55"/>
  <c r="U32" i="55"/>
  <c r="S31" i="55"/>
  <c r="M31" i="55"/>
  <c r="AA31" i="55"/>
  <c r="Y31" i="55"/>
  <c r="W31" i="55"/>
  <c r="U31" i="55"/>
  <c r="AE31" i="55"/>
  <c r="AG31" i="55"/>
  <c r="AI31" i="55"/>
  <c r="AC31" i="55"/>
  <c r="AI40" i="55"/>
  <c r="AG40" i="55"/>
  <c r="AE40" i="55"/>
  <c r="AC40" i="55"/>
  <c r="AA40" i="55"/>
  <c r="Y40" i="55"/>
  <c r="W40" i="55"/>
  <c r="U40" i="55"/>
  <c r="N40" i="55"/>
  <c r="O40" i="55"/>
  <c r="P40" i="55"/>
  <c r="Q40" i="55"/>
  <c r="R40" i="55"/>
  <c r="S40" i="55"/>
  <c r="M40" i="55"/>
  <c r="AG50" i="55"/>
  <c r="AG68" i="55" s="1"/>
  <c r="AE50" i="55"/>
  <c r="AE68" i="55" s="1"/>
  <c r="AC50" i="55"/>
  <c r="AD69" i="55"/>
  <c r="AE69" i="55"/>
  <c r="AF69" i="55"/>
  <c r="AG69" i="55"/>
  <c r="AH69" i="55"/>
  <c r="AD68" i="55"/>
  <c r="AF68" i="55"/>
  <c r="AH68" i="55"/>
  <c r="AC69" i="55"/>
  <c r="U50" i="55"/>
  <c r="Y50" i="55"/>
  <c r="W50" i="55"/>
  <c r="Q50" i="55"/>
  <c r="O50" i="55"/>
  <c r="P43" i="1" s="1"/>
  <c r="AC34" i="55"/>
  <c r="AE34" i="55"/>
  <c r="AG34" i="55"/>
  <c r="AH55" i="55"/>
  <c r="V55" i="55"/>
  <c r="U34" i="55"/>
  <c r="M34" i="55"/>
  <c r="O34" i="55"/>
  <c r="Q34" i="55"/>
  <c r="P34" i="55" s="1"/>
  <c r="P35" i="55"/>
  <c r="AF23" i="55"/>
  <c r="AF40" i="55" s="1"/>
  <c r="AF22" i="55"/>
  <c r="AI19" i="55"/>
  <c r="AG19" i="55"/>
  <c r="AE19" i="55"/>
  <c r="AC19" i="55"/>
  <c r="AA19" i="55"/>
  <c r="AA24" i="55" s="1"/>
  <c r="AA29" i="55" s="1"/>
  <c r="Y19" i="55"/>
  <c r="Y24" i="55" s="1"/>
  <c r="W19" i="55"/>
  <c r="U19" i="55"/>
  <c r="U24" i="55"/>
  <c r="U29" i="55" s="1"/>
  <c r="R28" i="55"/>
  <c r="R26" i="55"/>
  <c r="R27" i="55"/>
  <c r="P28" i="55"/>
  <c r="P27" i="55"/>
  <c r="N28" i="55"/>
  <c r="N26" i="55"/>
  <c r="N27" i="55"/>
  <c r="R22" i="55"/>
  <c r="P22" i="55"/>
  <c r="R18" i="55"/>
  <c r="R17" i="55"/>
  <c r="P18" i="55"/>
  <c r="P17" i="55"/>
  <c r="N18" i="55"/>
  <c r="N17" i="55"/>
  <c r="M22" i="55"/>
  <c r="N22" i="55" s="1"/>
  <c r="O29" i="2"/>
  <c r="Q31" i="1" s="1"/>
  <c r="O34" i="2"/>
  <c r="Q35" i="1"/>
  <c r="M29" i="2"/>
  <c r="M34" i="2"/>
  <c r="O35" i="1"/>
  <c r="G28" i="1"/>
  <c r="H28" i="1"/>
  <c r="I28" i="1"/>
  <c r="J28" i="1"/>
  <c r="K28" i="1"/>
  <c r="L28" i="1"/>
  <c r="F28" i="1"/>
  <c r="L25" i="1"/>
  <c r="L43" i="5"/>
  <c r="M43" i="5"/>
  <c r="K43" i="5"/>
  <c r="I43" i="5"/>
  <c r="G43" i="5"/>
  <c r="M44" i="10"/>
  <c r="K44" i="10"/>
  <c r="I44" i="10"/>
  <c r="J44" i="10" s="1"/>
  <c r="G44" i="10"/>
  <c r="L43" i="33"/>
  <c r="M43" i="33"/>
  <c r="M44" i="37"/>
  <c r="L44" i="37" s="1"/>
  <c r="K44" i="37"/>
  <c r="I44" i="37"/>
  <c r="J44" i="37" s="1"/>
  <c r="G44" i="37"/>
  <c r="M43" i="62"/>
  <c r="L43" i="62"/>
  <c r="L43" i="68"/>
  <c r="M43" i="68"/>
  <c r="H42" i="68"/>
  <c r="J42" i="68"/>
  <c r="F39" i="55"/>
  <c r="G39" i="55"/>
  <c r="I39" i="55"/>
  <c r="K39" i="55"/>
  <c r="H38" i="55"/>
  <c r="F38" i="55"/>
  <c r="L56" i="37"/>
  <c r="J55" i="62"/>
  <c r="L55" i="62"/>
  <c r="J55" i="55"/>
  <c r="H55" i="55"/>
  <c r="L55" i="50"/>
  <c r="J55" i="50"/>
  <c r="L55" i="5"/>
  <c r="J55" i="5"/>
  <c r="H55" i="5"/>
  <c r="L56" i="10"/>
  <c r="J56" i="10"/>
  <c r="H56" i="10"/>
  <c r="L57" i="11"/>
  <c r="L55" i="11"/>
  <c r="J57" i="11"/>
  <c r="J55" i="11"/>
  <c r="H57" i="11"/>
  <c r="H55" i="11"/>
  <c r="L55" i="33"/>
  <c r="J55" i="33"/>
  <c r="H55" i="33"/>
  <c r="J56" i="37"/>
  <c r="H56" i="37"/>
  <c r="H55" i="50"/>
  <c r="F55" i="55"/>
  <c r="H55" i="62"/>
  <c r="L38" i="68"/>
  <c r="J38" i="68"/>
  <c r="H38" i="68"/>
  <c r="L38" i="62"/>
  <c r="J38" i="62"/>
  <c r="H38" i="62"/>
  <c r="L38" i="50"/>
  <c r="J38" i="50"/>
  <c r="H38" i="50"/>
  <c r="L39" i="37"/>
  <c r="J39" i="37"/>
  <c r="H39" i="37"/>
  <c r="L38" i="33"/>
  <c r="J38" i="33"/>
  <c r="H38" i="33"/>
  <c r="L38" i="11"/>
  <c r="J38" i="11"/>
  <c r="H38" i="11"/>
  <c r="J39" i="10"/>
  <c r="H39" i="10"/>
  <c r="L38" i="5"/>
  <c r="J38" i="5"/>
  <c r="H38" i="5"/>
  <c r="G32" i="1"/>
  <c r="H32" i="1"/>
  <c r="I32" i="1"/>
  <c r="I33" i="1" s="1"/>
  <c r="J32" i="1"/>
  <c r="J33" i="1" s="1"/>
  <c r="K32" i="1"/>
  <c r="L32" i="1"/>
  <c r="F32" i="1"/>
  <c r="J35" i="1"/>
  <c r="H35" i="1"/>
  <c r="L35" i="1"/>
  <c r="F35" i="1"/>
  <c r="J27" i="1"/>
  <c r="J25" i="1"/>
  <c r="J18" i="1"/>
  <c r="I27" i="1"/>
  <c r="I18" i="1"/>
  <c r="H27" i="1"/>
  <c r="H18" i="1"/>
  <c r="H17" i="1"/>
  <c r="H16" i="1"/>
  <c r="G18" i="1"/>
  <c r="G17" i="1"/>
  <c r="F21" i="1"/>
  <c r="F18" i="1"/>
  <c r="J13" i="1"/>
  <c r="H13" i="1"/>
  <c r="G13" i="1"/>
  <c r="J12" i="1"/>
  <c r="I12" i="1"/>
  <c r="H12" i="1"/>
  <c r="G12" i="1"/>
  <c r="F12" i="1"/>
  <c r="K54" i="1"/>
  <c r="I54" i="1"/>
  <c r="G54" i="1"/>
  <c r="K53" i="1"/>
  <c r="I53" i="1"/>
  <c r="G53" i="1"/>
  <c r="L47" i="1"/>
  <c r="J47" i="1"/>
  <c r="H47" i="1"/>
  <c r="H48" i="1" s="1"/>
  <c r="F47" i="1"/>
  <c r="L46" i="1"/>
  <c r="H42" i="1"/>
  <c r="F42" i="1"/>
  <c r="L31" i="1"/>
  <c r="L36" i="1"/>
  <c r="K36" i="1" s="1"/>
  <c r="L21" i="1"/>
  <c r="L18" i="1"/>
  <c r="H55" i="2"/>
  <c r="J42" i="2"/>
  <c r="L42" i="1" s="1"/>
  <c r="J41" i="2"/>
  <c r="H42" i="2"/>
  <c r="J42" i="1" s="1"/>
  <c r="H41" i="2"/>
  <c r="F41" i="2"/>
  <c r="D41" i="2"/>
  <c r="G69" i="68"/>
  <c r="G68" i="68"/>
  <c r="E33" i="2"/>
  <c r="G35" i="1" s="1"/>
  <c r="G33" i="2"/>
  <c r="I35" i="1" s="1"/>
  <c r="I33" i="2"/>
  <c r="K35" i="1" s="1"/>
  <c r="C13" i="67"/>
  <c r="K13" i="67"/>
  <c r="J69" i="55"/>
  <c r="H69" i="55"/>
  <c r="F69" i="55"/>
  <c r="J68" i="55"/>
  <c r="H68" i="55"/>
  <c r="F68" i="55"/>
  <c r="E68" i="55"/>
  <c r="J38" i="55"/>
  <c r="J35" i="55"/>
  <c r="F35" i="55"/>
  <c r="J34" i="55"/>
  <c r="F34" i="55"/>
  <c r="K33" i="55"/>
  <c r="J33" i="55"/>
  <c r="I33" i="55"/>
  <c r="H33" i="55"/>
  <c r="G33" i="55"/>
  <c r="F33" i="55"/>
  <c r="E33" i="55"/>
  <c r="K32" i="55"/>
  <c r="J32" i="55"/>
  <c r="I32" i="55"/>
  <c r="G32" i="55"/>
  <c r="E32" i="55"/>
  <c r="K31" i="55"/>
  <c r="J31" i="55"/>
  <c r="I31" i="55"/>
  <c r="H31" i="55"/>
  <c r="G31" i="55"/>
  <c r="F31" i="55"/>
  <c r="E31" i="55"/>
  <c r="H32" i="55"/>
  <c r="F32" i="55"/>
  <c r="K19" i="55"/>
  <c r="J19" i="55"/>
  <c r="I19" i="55"/>
  <c r="H19" i="55"/>
  <c r="G19" i="55"/>
  <c r="F19" i="55"/>
  <c r="E19" i="55"/>
  <c r="I55" i="2"/>
  <c r="G55" i="2"/>
  <c r="F55" i="2"/>
  <c r="E55" i="2"/>
  <c r="I54" i="2"/>
  <c r="G54" i="2"/>
  <c r="E54" i="2"/>
  <c r="J51" i="2"/>
  <c r="I51" i="2"/>
  <c r="H51" i="2"/>
  <c r="G51" i="2"/>
  <c r="F51" i="2"/>
  <c r="E51" i="2"/>
  <c r="D51" i="2"/>
  <c r="J18" i="2"/>
  <c r="J27" i="2" s="1"/>
  <c r="J53" i="2" s="1"/>
  <c r="I18" i="2"/>
  <c r="H18" i="2"/>
  <c r="H27" i="2" s="1"/>
  <c r="H53" i="2" s="1"/>
  <c r="G18" i="2"/>
  <c r="F18" i="2"/>
  <c r="F27" i="2" s="1"/>
  <c r="L69" i="68"/>
  <c r="J69" i="68"/>
  <c r="H69" i="68"/>
  <c r="L68" i="68"/>
  <c r="J68" i="68"/>
  <c r="H68" i="68"/>
  <c r="M33" i="68"/>
  <c r="L33" i="68"/>
  <c r="K33" i="68"/>
  <c r="J33" i="68"/>
  <c r="I33" i="68"/>
  <c r="G33" i="68"/>
  <c r="M32" i="68"/>
  <c r="L32" i="68"/>
  <c r="K32" i="68"/>
  <c r="J32" i="68"/>
  <c r="I32" i="68"/>
  <c r="G32" i="68"/>
  <c r="M31" i="68"/>
  <c r="L31" i="68"/>
  <c r="K31" i="68"/>
  <c r="J31" i="68"/>
  <c r="I31" i="68"/>
  <c r="G31" i="68"/>
  <c r="M19" i="68"/>
  <c r="L19" i="68"/>
  <c r="K19" i="68"/>
  <c r="J19" i="68"/>
  <c r="I19" i="68"/>
  <c r="H19" i="68"/>
  <c r="G19" i="68"/>
  <c r="L69" i="62"/>
  <c r="J69" i="62"/>
  <c r="H69" i="62"/>
  <c r="G69" i="62"/>
  <c r="L68" i="62"/>
  <c r="J68" i="62"/>
  <c r="H68" i="62"/>
  <c r="G68" i="62"/>
  <c r="M33" i="62"/>
  <c r="L33" i="62"/>
  <c r="K33" i="62"/>
  <c r="J33" i="62"/>
  <c r="I33" i="62"/>
  <c r="G33" i="62"/>
  <c r="M32" i="62"/>
  <c r="L32" i="62"/>
  <c r="K32" i="62"/>
  <c r="J32" i="62"/>
  <c r="I32" i="62"/>
  <c r="G32" i="62"/>
  <c r="M31" i="62"/>
  <c r="L31" i="62"/>
  <c r="K31" i="62"/>
  <c r="J31" i="62"/>
  <c r="I31" i="62"/>
  <c r="G31" i="62"/>
  <c r="M19" i="62"/>
  <c r="L19" i="62"/>
  <c r="K19" i="62"/>
  <c r="J19" i="62"/>
  <c r="I19" i="62"/>
  <c r="H19" i="62"/>
  <c r="G19" i="62"/>
  <c r="L69" i="50"/>
  <c r="J69" i="50"/>
  <c r="H69" i="50"/>
  <c r="L68" i="50"/>
  <c r="J68" i="50"/>
  <c r="H68" i="50"/>
  <c r="M33" i="50"/>
  <c r="L33" i="50"/>
  <c r="K33" i="50"/>
  <c r="J33" i="50"/>
  <c r="I33" i="50"/>
  <c r="G33" i="50"/>
  <c r="M32" i="50"/>
  <c r="L32" i="50"/>
  <c r="K32" i="50"/>
  <c r="J32" i="50"/>
  <c r="I32" i="50"/>
  <c r="G32" i="50"/>
  <c r="M31" i="50"/>
  <c r="L31" i="50"/>
  <c r="K31" i="50"/>
  <c r="J31" i="50"/>
  <c r="I31" i="50"/>
  <c r="G31" i="50"/>
  <c r="M19" i="50"/>
  <c r="L19" i="50"/>
  <c r="K19" i="50"/>
  <c r="J19" i="50"/>
  <c r="I19" i="50"/>
  <c r="H19" i="50"/>
  <c r="G19" i="50"/>
  <c r="L70" i="37"/>
  <c r="J70" i="37"/>
  <c r="H70" i="37"/>
  <c r="L69" i="37"/>
  <c r="J69" i="37"/>
  <c r="H69" i="37"/>
  <c r="M34" i="37"/>
  <c r="L34" i="37"/>
  <c r="K34" i="37"/>
  <c r="J34" i="37"/>
  <c r="I34" i="37"/>
  <c r="H34" i="37"/>
  <c r="G34" i="37"/>
  <c r="M33" i="37"/>
  <c r="L33" i="37"/>
  <c r="K33" i="37"/>
  <c r="J33" i="37"/>
  <c r="I33" i="37"/>
  <c r="H33" i="37"/>
  <c r="G33" i="37"/>
  <c r="M32" i="37"/>
  <c r="L32" i="37"/>
  <c r="K32" i="37"/>
  <c r="J32" i="37"/>
  <c r="I32" i="37"/>
  <c r="H32" i="37"/>
  <c r="G32" i="37"/>
  <c r="M20" i="37"/>
  <c r="L20" i="37"/>
  <c r="K20" i="37"/>
  <c r="J20" i="37"/>
  <c r="I20" i="37"/>
  <c r="H20" i="37"/>
  <c r="G20" i="37"/>
  <c r="L69" i="33"/>
  <c r="J69" i="33"/>
  <c r="H69" i="33"/>
  <c r="G69" i="33"/>
  <c r="L68" i="33"/>
  <c r="J68" i="33"/>
  <c r="H68" i="33"/>
  <c r="G68" i="33"/>
  <c r="M33" i="33"/>
  <c r="L33" i="33"/>
  <c r="K33" i="33"/>
  <c r="J33" i="33"/>
  <c r="I33" i="33"/>
  <c r="H33" i="33"/>
  <c r="G33" i="33"/>
  <c r="M32" i="33"/>
  <c r="L32" i="33"/>
  <c r="K32" i="33"/>
  <c r="J32" i="33"/>
  <c r="I32" i="33"/>
  <c r="H32" i="33"/>
  <c r="G32" i="33"/>
  <c r="M31" i="33"/>
  <c r="L31" i="33"/>
  <c r="K31" i="33"/>
  <c r="J31" i="33"/>
  <c r="I31" i="33"/>
  <c r="H31" i="33"/>
  <c r="G31" i="33"/>
  <c r="M19" i="33"/>
  <c r="L19" i="33"/>
  <c r="K19" i="33"/>
  <c r="J19" i="33"/>
  <c r="I19" i="33"/>
  <c r="H19" i="33"/>
  <c r="G19" i="33"/>
  <c r="L69" i="11"/>
  <c r="J69" i="11"/>
  <c r="H69" i="11"/>
  <c r="G69" i="11"/>
  <c r="L68" i="11"/>
  <c r="J68" i="11"/>
  <c r="H68" i="11"/>
  <c r="G68" i="11"/>
  <c r="M33" i="11"/>
  <c r="L33" i="11"/>
  <c r="K33" i="11"/>
  <c r="J33" i="11"/>
  <c r="I33" i="11"/>
  <c r="G33" i="11"/>
  <c r="M32" i="11"/>
  <c r="L32" i="11"/>
  <c r="K32" i="11"/>
  <c r="J32" i="11"/>
  <c r="I32" i="11"/>
  <c r="H32" i="11"/>
  <c r="G32" i="11"/>
  <c r="M31" i="11"/>
  <c r="L31" i="11"/>
  <c r="K31" i="11"/>
  <c r="J31" i="11"/>
  <c r="I31" i="11"/>
  <c r="H31" i="11"/>
  <c r="G31" i="11"/>
  <c r="H33" i="11"/>
  <c r="M19" i="11"/>
  <c r="L19" i="11"/>
  <c r="K19" i="11"/>
  <c r="J19" i="11"/>
  <c r="I19" i="11"/>
  <c r="H19" i="11"/>
  <c r="G19" i="11"/>
  <c r="M32" i="10"/>
  <c r="L32" i="10"/>
  <c r="K32" i="10"/>
  <c r="J32" i="10"/>
  <c r="I32" i="10"/>
  <c r="H32" i="10"/>
  <c r="G32" i="10"/>
  <c r="M34" i="10"/>
  <c r="L34" i="10"/>
  <c r="K34" i="10"/>
  <c r="J34" i="10"/>
  <c r="I34" i="10"/>
  <c r="H34" i="10"/>
  <c r="G34" i="10"/>
  <c r="L70" i="10"/>
  <c r="J70" i="10"/>
  <c r="H70" i="10"/>
  <c r="G70" i="10"/>
  <c r="L69" i="10"/>
  <c r="J69" i="10"/>
  <c r="H69" i="10"/>
  <c r="G69" i="10"/>
  <c r="L39" i="10"/>
  <c r="M33" i="10"/>
  <c r="L33" i="10"/>
  <c r="K33" i="10"/>
  <c r="J33" i="10"/>
  <c r="I33" i="10"/>
  <c r="H33" i="10"/>
  <c r="G33" i="10"/>
  <c r="M20" i="10"/>
  <c r="L20" i="10"/>
  <c r="K20" i="10"/>
  <c r="J20" i="10"/>
  <c r="I20" i="10"/>
  <c r="H20" i="10"/>
  <c r="G20" i="10"/>
  <c r="F14" i="1" s="1"/>
  <c r="G31" i="5"/>
  <c r="I31" i="5"/>
  <c r="K31" i="5"/>
  <c r="L31" i="5"/>
  <c r="M31" i="5"/>
  <c r="G32" i="5"/>
  <c r="I32" i="5"/>
  <c r="K32" i="5"/>
  <c r="L32" i="5"/>
  <c r="M32" i="5"/>
  <c r="G33" i="5"/>
  <c r="I33" i="5"/>
  <c r="K33" i="5"/>
  <c r="L33" i="5"/>
  <c r="M33" i="5"/>
  <c r="B13" i="5" a="1"/>
  <c r="B13" i="5" s="1"/>
  <c r="L69" i="5"/>
  <c r="J69" i="5"/>
  <c r="H69" i="5"/>
  <c r="G69" i="5"/>
  <c r="L68" i="5"/>
  <c r="J68" i="5"/>
  <c r="H68" i="5"/>
  <c r="G68" i="5"/>
  <c r="M19" i="5"/>
  <c r="L19" i="5"/>
  <c r="K19" i="5"/>
  <c r="J19" i="5"/>
  <c r="I19" i="5"/>
  <c r="H19" i="5"/>
  <c r="G19" i="5"/>
  <c r="C9" i="37"/>
  <c r="Q33" i="2"/>
  <c r="Q30" i="2"/>
  <c r="Q19" i="2"/>
  <c r="Y29" i="2"/>
  <c r="T15" i="1"/>
  <c r="F53" i="2" l="1"/>
  <c r="H29" i="1"/>
  <c r="F31" i="2"/>
  <c r="F35" i="2" s="1"/>
  <c r="K31" i="1"/>
  <c r="L33" i="1"/>
  <c r="L37" i="1" s="1"/>
  <c r="F33" i="1"/>
  <c r="F48" i="1"/>
  <c r="F54" i="1" s="1"/>
  <c r="J37" i="1"/>
  <c r="I37" i="1"/>
  <c r="D53" i="2"/>
  <c r="I27" i="2"/>
  <c r="I53" i="2" s="1"/>
  <c r="G27" i="2"/>
  <c r="G53" i="2" s="1"/>
  <c r="D55" i="2"/>
  <c r="G19" i="1"/>
  <c r="F19" i="1"/>
  <c r="Q23" i="2"/>
  <c r="Q27" i="2" s="1"/>
  <c r="Q31" i="2" s="1"/>
  <c r="Q35" i="2" s="1"/>
  <c r="D43" i="2"/>
  <c r="F43" i="1" s="1"/>
  <c r="O36" i="1"/>
  <c r="AI69" i="55"/>
  <c r="U36" i="55"/>
  <c r="U44" i="55" s="1"/>
  <c r="W36" i="55"/>
  <c r="W44" i="55" s="1"/>
  <c r="Q43" i="55"/>
  <c r="R43" i="55" s="1"/>
  <c r="X25" i="55"/>
  <c r="H44" i="37"/>
  <c r="K17" i="1"/>
  <c r="L44" i="10"/>
  <c r="H44" i="10"/>
  <c r="K25" i="1"/>
  <c r="J43" i="5"/>
  <c r="H43" i="5"/>
  <c r="L48" i="1"/>
  <c r="L54" i="1" s="1"/>
  <c r="K18" i="1"/>
  <c r="K21" i="1"/>
  <c r="H54" i="1"/>
  <c r="I50" i="1"/>
  <c r="H14" i="1"/>
  <c r="G14" i="1"/>
  <c r="G50" i="1" s="1"/>
  <c r="L14" i="1"/>
  <c r="L50" i="1" s="1"/>
  <c r="F50" i="1"/>
  <c r="J14" i="1"/>
  <c r="J50" i="1" s="1"/>
  <c r="W14" i="70"/>
  <c r="W26" i="70" s="1"/>
  <c r="U26" i="70"/>
  <c r="U21" i="70"/>
  <c r="S26" i="70"/>
  <c r="S21" i="70"/>
  <c r="Q26" i="70"/>
  <c r="Q21" i="70"/>
  <c r="O26" i="70"/>
  <c r="O21" i="70"/>
  <c r="M21" i="70"/>
  <c r="M26" i="70"/>
  <c r="K26" i="70"/>
  <c r="K21" i="70"/>
  <c r="I26" i="70"/>
  <c r="I21" i="70"/>
  <c r="G26" i="70"/>
  <c r="G21" i="70"/>
  <c r="E26" i="70"/>
  <c r="E21" i="70"/>
  <c r="C26" i="70"/>
  <c r="C21" i="70"/>
  <c r="J43" i="2"/>
  <c r="L43" i="1" s="1"/>
  <c r="L53" i="1" s="1"/>
  <c r="AA36" i="55"/>
  <c r="AA66" i="55"/>
  <c r="AA65" i="55"/>
  <c r="AA44" i="55"/>
  <c r="AA67" i="55" s="1"/>
  <c r="K30" i="67"/>
  <c r="AI63" i="55"/>
  <c r="AI24" i="55"/>
  <c r="AI29" i="55" s="1"/>
  <c r="AG63" i="55"/>
  <c r="AG24" i="55"/>
  <c r="AE63" i="55"/>
  <c r="AE24" i="55"/>
  <c r="AE64" i="55" s="1"/>
  <c r="AC63" i="55"/>
  <c r="AC24" i="55"/>
  <c r="AC29" i="55" s="1"/>
  <c r="Y29" i="55"/>
  <c r="Y36" i="55" s="1"/>
  <c r="Y44" i="55" s="1"/>
  <c r="AC36" i="55"/>
  <c r="AC44" i="55"/>
  <c r="AC67" i="55" s="1"/>
  <c r="J48" i="1"/>
  <c r="J54" i="1" s="1"/>
  <c r="K16" i="1"/>
  <c r="K13" i="1"/>
  <c r="H43" i="2"/>
  <c r="J43" i="1" s="1"/>
  <c r="F43" i="2"/>
  <c r="H43" i="1" s="1"/>
  <c r="K27" i="1"/>
  <c r="K15" i="1"/>
  <c r="K12" i="1"/>
  <c r="K69" i="55"/>
  <c r="K68" i="55"/>
  <c r="I69" i="55"/>
  <c r="I68" i="55"/>
  <c r="G69" i="55"/>
  <c r="G68" i="55"/>
  <c r="K24" i="55"/>
  <c r="K63" i="55"/>
  <c r="J63" i="55"/>
  <c r="J24" i="55"/>
  <c r="J64" i="55" s="1"/>
  <c r="I63" i="55"/>
  <c r="I24" i="55"/>
  <c r="H63" i="55"/>
  <c r="H24" i="55"/>
  <c r="G24" i="55"/>
  <c r="G63" i="55"/>
  <c r="F63" i="55"/>
  <c r="F24" i="55"/>
  <c r="E63" i="55"/>
  <c r="E24" i="55"/>
  <c r="J52" i="2"/>
  <c r="I52" i="2"/>
  <c r="H52" i="2"/>
  <c r="G52" i="2"/>
  <c r="F52" i="2"/>
  <c r="E52" i="2"/>
  <c r="D52" i="2"/>
  <c r="M69" i="68"/>
  <c r="M68" i="68"/>
  <c r="K69" i="68"/>
  <c r="K68" i="68"/>
  <c r="I69" i="68"/>
  <c r="I68" i="68"/>
  <c r="M24" i="68"/>
  <c r="M64" i="68" s="1"/>
  <c r="M63" i="68"/>
  <c r="L63" i="68"/>
  <c r="L24" i="68"/>
  <c r="L64" i="68" s="1"/>
  <c r="K63" i="68"/>
  <c r="K24" i="68"/>
  <c r="K64" i="68" s="1"/>
  <c r="J63" i="68"/>
  <c r="J24" i="68"/>
  <c r="J64" i="68" s="1"/>
  <c r="I63" i="68"/>
  <c r="I24" i="68"/>
  <c r="I64" i="68" s="1"/>
  <c r="H63" i="68"/>
  <c r="H24" i="68"/>
  <c r="H64" i="68" s="1"/>
  <c r="G63" i="68"/>
  <c r="G24" i="68"/>
  <c r="G64" i="68" s="1"/>
  <c r="M69" i="62"/>
  <c r="M68" i="62"/>
  <c r="K69" i="62"/>
  <c r="K68" i="62"/>
  <c r="I69" i="62"/>
  <c r="I68" i="62"/>
  <c r="M24" i="62"/>
  <c r="M64" i="62" s="1"/>
  <c r="M63" i="62"/>
  <c r="L63" i="62"/>
  <c r="L24" i="62"/>
  <c r="L64" i="62" s="1"/>
  <c r="K63" i="62"/>
  <c r="K24" i="62"/>
  <c r="K64" i="62" s="1"/>
  <c r="J63" i="62"/>
  <c r="J24" i="62"/>
  <c r="J64" i="62" s="1"/>
  <c r="I63" i="62"/>
  <c r="I24" i="62"/>
  <c r="I64" i="62" s="1"/>
  <c r="H63" i="62"/>
  <c r="H24" i="62"/>
  <c r="H64" i="62" s="1"/>
  <c r="G63" i="62"/>
  <c r="G24" i="62"/>
  <c r="G64" i="62" s="1"/>
  <c r="M69" i="50"/>
  <c r="M68" i="50"/>
  <c r="K69" i="50"/>
  <c r="K68" i="50"/>
  <c r="I69" i="50"/>
  <c r="I68" i="50"/>
  <c r="G69" i="50"/>
  <c r="G68" i="50"/>
  <c r="M63" i="50"/>
  <c r="M24" i="50"/>
  <c r="M64" i="50" s="1"/>
  <c r="L63" i="50"/>
  <c r="L24" i="50"/>
  <c r="L64" i="50" s="1"/>
  <c r="K63" i="50"/>
  <c r="K24" i="50"/>
  <c r="K64" i="50" s="1"/>
  <c r="J63" i="50"/>
  <c r="J24" i="50"/>
  <c r="J64" i="50" s="1"/>
  <c r="I63" i="50"/>
  <c r="I24" i="50"/>
  <c r="I64" i="50" s="1"/>
  <c r="H63" i="50"/>
  <c r="H24" i="50"/>
  <c r="H64" i="50" s="1"/>
  <c r="G63" i="50"/>
  <c r="G24" i="50"/>
  <c r="G64" i="50" s="1"/>
  <c r="M70" i="37"/>
  <c r="M69" i="37"/>
  <c r="K70" i="37"/>
  <c r="K69" i="37"/>
  <c r="I70" i="37"/>
  <c r="I69" i="37"/>
  <c r="G70" i="37"/>
  <c r="G69" i="37"/>
  <c r="M64" i="37"/>
  <c r="M25" i="37"/>
  <c r="M65" i="37" s="1"/>
  <c r="L64" i="37"/>
  <c r="L25" i="37"/>
  <c r="L65" i="37" s="1"/>
  <c r="K64" i="37"/>
  <c r="K25" i="37"/>
  <c r="K65" i="37" s="1"/>
  <c r="J64" i="37"/>
  <c r="J25" i="37"/>
  <c r="J65" i="37" s="1"/>
  <c r="I64" i="37"/>
  <c r="I25" i="37"/>
  <c r="I65" i="37" s="1"/>
  <c r="H64" i="37"/>
  <c r="H25" i="37"/>
  <c r="H65" i="37" s="1"/>
  <c r="G64" i="37"/>
  <c r="G25" i="37"/>
  <c r="G65" i="37" s="1"/>
  <c r="M69" i="33"/>
  <c r="M68" i="33"/>
  <c r="K69" i="33"/>
  <c r="K68" i="33"/>
  <c r="I69" i="33"/>
  <c r="I68" i="33"/>
  <c r="M63" i="33"/>
  <c r="M24" i="33"/>
  <c r="M64" i="33" s="1"/>
  <c r="L63" i="33"/>
  <c r="L24" i="33"/>
  <c r="L64" i="33" s="1"/>
  <c r="K63" i="33"/>
  <c r="K24" i="33"/>
  <c r="K64" i="33" s="1"/>
  <c r="J63" i="33"/>
  <c r="J24" i="33"/>
  <c r="J64" i="33" s="1"/>
  <c r="I63" i="33"/>
  <c r="I24" i="33"/>
  <c r="I64" i="33" s="1"/>
  <c r="H63" i="33"/>
  <c r="H24" i="33"/>
  <c r="H64" i="33" s="1"/>
  <c r="G63" i="33"/>
  <c r="G24" i="33"/>
  <c r="G64" i="33" s="1"/>
  <c r="M69" i="11"/>
  <c r="M68" i="11"/>
  <c r="K69" i="11"/>
  <c r="K68" i="11"/>
  <c r="I69" i="11"/>
  <c r="I68" i="11"/>
  <c r="M63" i="11"/>
  <c r="M24" i="11"/>
  <c r="M64" i="11" s="1"/>
  <c r="L63" i="11"/>
  <c r="L24" i="11"/>
  <c r="L64" i="11" s="1"/>
  <c r="K63" i="11"/>
  <c r="K24" i="11"/>
  <c r="K64" i="11" s="1"/>
  <c r="J63" i="11"/>
  <c r="J24" i="11"/>
  <c r="J64" i="11" s="1"/>
  <c r="I63" i="11"/>
  <c r="I24" i="11"/>
  <c r="I64" i="11" s="1"/>
  <c r="H63" i="11"/>
  <c r="H24" i="11"/>
  <c r="H64" i="11" s="1"/>
  <c r="G63" i="11"/>
  <c r="G24" i="11"/>
  <c r="G64" i="11" s="1"/>
  <c r="I64" i="10"/>
  <c r="I25" i="10"/>
  <c r="I65" i="10" s="1"/>
  <c r="H64" i="10"/>
  <c r="H25" i="10"/>
  <c r="G25" i="10"/>
  <c r="G30" i="10" s="1"/>
  <c r="G64" i="10"/>
  <c r="M70" i="10"/>
  <c r="M69" i="10"/>
  <c r="K70" i="10"/>
  <c r="K69" i="10"/>
  <c r="I70" i="10"/>
  <c r="I69" i="10"/>
  <c r="M64" i="10"/>
  <c r="M25" i="10"/>
  <c r="M65" i="10" s="1"/>
  <c r="L64" i="10"/>
  <c r="L25" i="10"/>
  <c r="L65" i="10" s="1"/>
  <c r="K64" i="10"/>
  <c r="K25" i="10"/>
  <c r="K65" i="10" s="1"/>
  <c r="J64" i="10"/>
  <c r="J25" i="10"/>
  <c r="J65" i="10" s="1"/>
  <c r="M69" i="5"/>
  <c r="M68" i="5"/>
  <c r="K69" i="5"/>
  <c r="K68" i="5"/>
  <c r="I69" i="5"/>
  <c r="I68" i="5"/>
  <c r="M63" i="5"/>
  <c r="M24" i="5"/>
  <c r="L24" i="5"/>
  <c r="L64" i="5" s="1"/>
  <c r="L63" i="5"/>
  <c r="K24" i="5"/>
  <c r="K63" i="5"/>
  <c r="J63" i="5"/>
  <c r="J24" i="5"/>
  <c r="J64" i="5" s="1"/>
  <c r="I24" i="5"/>
  <c r="I64" i="5" s="1"/>
  <c r="I63" i="5"/>
  <c r="H24" i="5"/>
  <c r="H64" i="5" s="1"/>
  <c r="H63" i="5"/>
  <c r="G63" i="5"/>
  <c r="G24" i="5"/>
  <c r="G64" i="5" s="1"/>
  <c r="S31" i="1"/>
  <c r="T32" i="1"/>
  <c r="S32" i="1" s="1"/>
  <c r="T36" i="1"/>
  <c r="S36" i="1" s="1"/>
  <c r="T35" i="1"/>
  <c r="S35" i="1" s="1"/>
  <c r="T46" i="1"/>
  <c r="T41" i="1"/>
  <c r="T27" i="1"/>
  <c r="T17" i="1"/>
  <c r="T13" i="1"/>
  <c r="T12" i="1"/>
  <c r="W19" i="69"/>
  <c r="W18" i="69"/>
  <c r="W17" i="69"/>
  <c r="W16" i="69"/>
  <c r="W15" i="69"/>
  <c r="W14" i="69"/>
  <c r="W12" i="69"/>
  <c r="W11" i="69"/>
  <c r="W10" i="69"/>
  <c r="W9" i="69"/>
  <c r="W7" i="69"/>
  <c r="C13" i="69"/>
  <c r="C25" i="69" s="1"/>
  <c r="E13" i="69"/>
  <c r="G13" i="69"/>
  <c r="I13" i="69"/>
  <c r="K13" i="69"/>
  <c r="M13" i="69"/>
  <c r="O13" i="69"/>
  <c r="Q13" i="69"/>
  <c r="S13" i="69"/>
  <c r="U13" i="69"/>
  <c r="T38" i="68"/>
  <c r="T43" i="68"/>
  <c r="T42" i="68"/>
  <c r="T35" i="68"/>
  <c r="T34" i="68"/>
  <c r="U51" i="68"/>
  <c r="U33" i="68"/>
  <c r="T33" i="68"/>
  <c r="U32" i="68"/>
  <c r="T32" i="68"/>
  <c r="U31" i="68"/>
  <c r="T31" i="68"/>
  <c r="U19" i="68"/>
  <c r="U24" i="68" s="1"/>
  <c r="U29" i="68" s="1"/>
  <c r="T19" i="68"/>
  <c r="T24" i="68" s="1"/>
  <c r="T29" i="68" s="1"/>
  <c r="T55" i="62"/>
  <c r="U51" i="62"/>
  <c r="T38" i="62"/>
  <c r="T43" i="62"/>
  <c r="T35" i="62"/>
  <c r="T34" i="62"/>
  <c r="U33" i="62"/>
  <c r="U32" i="62"/>
  <c r="U31" i="62"/>
  <c r="U19" i="62"/>
  <c r="U24" i="62" s="1"/>
  <c r="U29" i="62" s="1"/>
  <c r="K29" i="69" s="1"/>
  <c r="T33" i="62"/>
  <c r="T32" i="62"/>
  <c r="T31" i="62"/>
  <c r="T19" i="62"/>
  <c r="T24" i="62" s="1"/>
  <c r="T29" i="62" s="1"/>
  <c r="R55" i="55"/>
  <c r="R38" i="55"/>
  <c r="R35" i="55"/>
  <c r="R34" i="55"/>
  <c r="S33" i="55"/>
  <c r="S32" i="55"/>
  <c r="S19" i="55"/>
  <c r="S24" i="55" s="1"/>
  <c r="R33" i="55"/>
  <c r="R32" i="55"/>
  <c r="R31" i="55"/>
  <c r="R19" i="55"/>
  <c r="R24" i="55" s="1"/>
  <c r="R29" i="55" s="1"/>
  <c r="T57" i="50"/>
  <c r="T55" i="50"/>
  <c r="U51" i="50"/>
  <c r="T38" i="50"/>
  <c r="T43" i="50"/>
  <c r="T35" i="50"/>
  <c r="T34" i="50"/>
  <c r="U33" i="50"/>
  <c r="U32" i="50"/>
  <c r="U31" i="50"/>
  <c r="U19" i="50"/>
  <c r="U24" i="50" s="1"/>
  <c r="U29" i="50" s="1"/>
  <c r="T33" i="50"/>
  <c r="T32" i="50"/>
  <c r="T31" i="50"/>
  <c r="T19" i="50"/>
  <c r="T24" i="50" s="1"/>
  <c r="T29" i="50" s="1"/>
  <c r="T56" i="37"/>
  <c r="U52" i="37"/>
  <c r="T36" i="37"/>
  <c r="T35" i="37"/>
  <c r="T44" i="37"/>
  <c r="T39" i="37"/>
  <c r="U34" i="37"/>
  <c r="U33" i="37"/>
  <c r="U32" i="37"/>
  <c r="U20" i="37"/>
  <c r="U25" i="37" s="1"/>
  <c r="T34" i="37"/>
  <c r="T33" i="37"/>
  <c r="T32" i="37"/>
  <c r="T20" i="37"/>
  <c r="T25" i="37" s="1"/>
  <c r="T30" i="37" s="1"/>
  <c r="T55" i="33"/>
  <c r="U51" i="33"/>
  <c r="T38" i="33"/>
  <c r="T43" i="33"/>
  <c r="T34" i="33"/>
  <c r="U33" i="33"/>
  <c r="U32" i="33"/>
  <c r="U31" i="33"/>
  <c r="U19" i="33"/>
  <c r="U24" i="33" s="1"/>
  <c r="U29" i="33" s="1"/>
  <c r="O29" i="69" s="1"/>
  <c r="T33" i="33"/>
  <c r="T32" i="33"/>
  <c r="T31" i="33"/>
  <c r="T19" i="33"/>
  <c r="T24" i="33" s="1"/>
  <c r="T29" i="33" s="1"/>
  <c r="T57" i="11"/>
  <c r="T55" i="11"/>
  <c r="U51" i="11"/>
  <c r="T43" i="11"/>
  <c r="T38" i="11"/>
  <c r="T35" i="11"/>
  <c r="T34" i="11"/>
  <c r="U33" i="11"/>
  <c r="U32" i="11"/>
  <c r="U31" i="11"/>
  <c r="U19" i="11"/>
  <c r="U24" i="11" s="1"/>
  <c r="U29" i="11" s="1"/>
  <c r="T33" i="11"/>
  <c r="T32" i="11"/>
  <c r="T31" i="11"/>
  <c r="T19" i="11"/>
  <c r="T24" i="11" s="1"/>
  <c r="T29" i="11" s="1"/>
  <c r="T56" i="10"/>
  <c r="U52" i="10"/>
  <c r="T39" i="10"/>
  <c r="T36" i="10"/>
  <c r="T35" i="10"/>
  <c r="U34" i="10"/>
  <c r="U33" i="10"/>
  <c r="U32" i="10"/>
  <c r="U20" i="10"/>
  <c r="U25" i="10" s="1"/>
  <c r="U30" i="10" s="1"/>
  <c r="T34" i="10"/>
  <c r="T33" i="10"/>
  <c r="T32" i="10"/>
  <c r="T20" i="10"/>
  <c r="T25" i="10" s="1"/>
  <c r="T30" i="10" s="1"/>
  <c r="T55" i="5"/>
  <c r="U51" i="5"/>
  <c r="T20" i="5"/>
  <c r="T26" i="5"/>
  <c r="T28" i="5"/>
  <c r="T35" i="5"/>
  <c r="T34" i="5"/>
  <c r="H33" i="1" l="1"/>
  <c r="H37" i="1" s="1"/>
  <c r="G29" i="1"/>
  <c r="G52" i="1" s="1"/>
  <c r="Q53" i="2"/>
  <c r="O53" i="2"/>
  <c r="Q52" i="1"/>
  <c r="O31" i="2"/>
  <c r="O35" i="2" s="1"/>
  <c r="M35" i="2"/>
  <c r="M53" i="2"/>
  <c r="F37" i="1"/>
  <c r="H50" i="1"/>
  <c r="H51" i="1"/>
  <c r="E53" i="2"/>
  <c r="E31" i="2"/>
  <c r="E35" i="2" s="1"/>
  <c r="G33" i="1"/>
  <c r="G37" i="1" s="1"/>
  <c r="F52" i="1"/>
  <c r="F53" i="1"/>
  <c r="D54" i="2"/>
  <c r="I30" i="10"/>
  <c r="S29" i="55"/>
  <c r="I29" i="69" s="1"/>
  <c r="S65" i="55"/>
  <c r="T36" i="50"/>
  <c r="T44" i="50" s="1"/>
  <c r="G65" i="10"/>
  <c r="K14" i="1"/>
  <c r="M64" i="5"/>
  <c r="L19" i="1"/>
  <c r="K64" i="5"/>
  <c r="J19" i="1"/>
  <c r="U27" i="70"/>
  <c r="S27" i="70"/>
  <c r="Q27" i="70"/>
  <c r="O27" i="70"/>
  <c r="M27" i="70"/>
  <c r="K27" i="70"/>
  <c r="I27" i="70"/>
  <c r="G27" i="70"/>
  <c r="E27" i="70"/>
  <c r="C27" i="70"/>
  <c r="W21" i="70"/>
  <c r="W27" i="70" s="1"/>
  <c r="J54" i="2"/>
  <c r="AI64" i="55"/>
  <c r="AG29" i="55"/>
  <c r="AG64" i="55"/>
  <c r="K31" i="67"/>
  <c r="F51" i="1"/>
  <c r="E64" i="55"/>
  <c r="J53" i="1"/>
  <c r="H54" i="2"/>
  <c r="H53" i="1"/>
  <c r="F54" i="2"/>
  <c r="K64" i="55"/>
  <c r="I64" i="55"/>
  <c r="H64" i="55"/>
  <c r="G64" i="55"/>
  <c r="H52" i="1"/>
  <c r="F64" i="55"/>
  <c r="K29" i="55"/>
  <c r="I30" i="70" s="1"/>
  <c r="J29" i="55"/>
  <c r="I29" i="55"/>
  <c r="I65" i="55" s="1"/>
  <c r="H29" i="55"/>
  <c r="G29" i="55"/>
  <c r="F29" i="55"/>
  <c r="F65" i="55"/>
  <c r="E29" i="55"/>
  <c r="S36" i="55"/>
  <c r="M29" i="68"/>
  <c r="M30" i="70" s="1"/>
  <c r="L29" i="68"/>
  <c r="K29" i="68"/>
  <c r="J29" i="68"/>
  <c r="I29" i="68"/>
  <c r="I36" i="68" s="1"/>
  <c r="H29" i="68"/>
  <c r="G29" i="68"/>
  <c r="U36" i="68"/>
  <c r="M29" i="69"/>
  <c r="M29" i="62"/>
  <c r="L29" i="62"/>
  <c r="L36" i="62" s="1"/>
  <c r="L65" i="62"/>
  <c r="K29" i="62"/>
  <c r="K36" i="62" s="1"/>
  <c r="J29" i="62"/>
  <c r="I29" i="62"/>
  <c r="H29" i="62"/>
  <c r="G29" i="62"/>
  <c r="M29" i="50"/>
  <c r="G30" i="70" s="1"/>
  <c r="L29" i="50"/>
  <c r="K29" i="50"/>
  <c r="J29" i="50"/>
  <c r="I29" i="50"/>
  <c r="I36" i="50" s="1"/>
  <c r="H29" i="50"/>
  <c r="H36" i="50" s="1"/>
  <c r="G29" i="50"/>
  <c r="U36" i="50"/>
  <c r="G29" i="69"/>
  <c r="M30" i="37"/>
  <c r="Q30" i="70" s="1"/>
  <c r="L30" i="37"/>
  <c r="K30" i="37"/>
  <c r="K37" i="37" s="1"/>
  <c r="J30" i="37"/>
  <c r="I30" i="37"/>
  <c r="H30" i="37"/>
  <c r="H37" i="37" s="1"/>
  <c r="G30" i="37"/>
  <c r="M29" i="33"/>
  <c r="O30" i="70" s="1"/>
  <c r="L29" i="33"/>
  <c r="L36" i="33" s="1"/>
  <c r="K29" i="33"/>
  <c r="J29" i="33"/>
  <c r="I29" i="33"/>
  <c r="H29" i="33"/>
  <c r="H36" i="33" s="1"/>
  <c r="H65" i="33"/>
  <c r="G29" i="33"/>
  <c r="M29" i="11"/>
  <c r="M65" i="11" s="1"/>
  <c r="L29" i="11"/>
  <c r="K29" i="11"/>
  <c r="K36" i="11" s="1"/>
  <c r="K44" i="11" s="1"/>
  <c r="J29" i="11"/>
  <c r="J36" i="11" s="1"/>
  <c r="I29" i="11"/>
  <c r="I36" i="11" s="1"/>
  <c r="I44" i="11" s="1"/>
  <c r="H29" i="11"/>
  <c r="G29" i="11"/>
  <c r="U36" i="11"/>
  <c r="E29" i="69"/>
  <c r="H30" i="10"/>
  <c r="H65" i="10"/>
  <c r="M30" i="10"/>
  <c r="U30" i="70" s="1"/>
  <c r="L30" i="10"/>
  <c r="K30" i="10"/>
  <c r="J30" i="10"/>
  <c r="J37" i="10" s="1"/>
  <c r="J66" i="10"/>
  <c r="I37" i="10"/>
  <c r="I45" i="10" s="1"/>
  <c r="I66" i="10"/>
  <c r="G37" i="10"/>
  <c r="G45" i="10" s="1"/>
  <c r="G66" i="10"/>
  <c r="U37" i="10"/>
  <c r="U29" i="69"/>
  <c r="M29" i="5"/>
  <c r="L29" i="5"/>
  <c r="K29" i="5"/>
  <c r="J29" i="5"/>
  <c r="I29" i="5"/>
  <c r="H29" i="5"/>
  <c r="G29" i="5"/>
  <c r="U30" i="37"/>
  <c r="W13" i="69"/>
  <c r="T36" i="68"/>
  <c r="T44" i="68" s="1"/>
  <c r="T36" i="62"/>
  <c r="T44" i="62" s="1"/>
  <c r="U36" i="62"/>
  <c r="R36" i="55"/>
  <c r="R44" i="55" s="1"/>
  <c r="T37" i="37"/>
  <c r="T45" i="37" s="1"/>
  <c r="T36" i="33"/>
  <c r="T44" i="33" s="1"/>
  <c r="U36" i="33"/>
  <c r="T36" i="11"/>
  <c r="T44" i="11" s="1"/>
  <c r="T37" i="10"/>
  <c r="T45" i="10" s="1"/>
  <c r="U33" i="5"/>
  <c r="U32" i="5"/>
  <c r="U31" i="5"/>
  <c r="U19" i="5"/>
  <c r="T14" i="1" s="1"/>
  <c r="T33" i="5"/>
  <c r="T32" i="5"/>
  <c r="T31" i="5"/>
  <c r="T19" i="5"/>
  <c r="T24" i="5" s="1"/>
  <c r="T21" i="1"/>
  <c r="S54" i="1"/>
  <c r="S53" i="1"/>
  <c r="T18" i="1"/>
  <c r="T47" i="1"/>
  <c r="T48" i="1" s="1"/>
  <c r="T42" i="1"/>
  <c r="R43" i="2"/>
  <c r="T43" i="1" s="1"/>
  <c r="K50" i="1" l="1"/>
  <c r="I65" i="68"/>
  <c r="K66" i="37"/>
  <c r="K65" i="62"/>
  <c r="H65" i="50"/>
  <c r="I65" i="50"/>
  <c r="H66" i="37"/>
  <c r="L65" i="33"/>
  <c r="K65" i="11"/>
  <c r="I65" i="11"/>
  <c r="J65" i="11"/>
  <c r="H36" i="62"/>
  <c r="H66" i="62" s="1"/>
  <c r="H65" i="62"/>
  <c r="M36" i="62"/>
  <c r="K31" i="70" s="1"/>
  <c r="M65" i="62"/>
  <c r="K30" i="70"/>
  <c r="I52" i="1"/>
  <c r="M36" i="11"/>
  <c r="E31" i="70" s="1"/>
  <c r="E30" i="70"/>
  <c r="L51" i="1"/>
  <c r="S30" i="70"/>
  <c r="L52" i="1"/>
  <c r="K7" i="63"/>
  <c r="K14" i="63" s="1"/>
  <c r="AI65" i="55"/>
  <c r="AI36" i="55"/>
  <c r="AI44" i="55" s="1"/>
  <c r="AG36" i="55"/>
  <c r="AG65" i="55"/>
  <c r="K19" i="1"/>
  <c r="J51" i="1"/>
  <c r="I51" i="1"/>
  <c r="G51" i="1"/>
  <c r="I36" i="55"/>
  <c r="J52" i="1"/>
  <c r="F36" i="55"/>
  <c r="E36" i="55"/>
  <c r="E65" i="55"/>
  <c r="K36" i="55"/>
  <c r="K65" i="55"/>
  <c r="J36" i="55"/>
  <c r="J65" i="55"/>
  <c r="H36" i="55"/>
  <c r="H65" i="55"/>
  <c r="G36" i="55"/>
  <c r="G65" i="55"/>
  <c r="I30" i="69"/>
  <c r="S44" i="55"/>
  <c r="L36" i="68"/>
  <c r="L65" i="68"/>
  <c r="J36" i="68"/>
  <c r="J65" i="68"/>
  <c r="H36" i="68"/>
  <c r="H44" i="68" s="1"/>
  <c r="H67" i="68" s="1"/>
  <c r="H65" i="68"/>
  <c r="M36" i="68"/>
  <c r="M31" i="70" s="1"/>
  <c r="M65" i="68"/>
  <c r="I44" i="68"/>
  <c r="I67" i="68" s="1"/>
  <c r="I66" i="68"/>
  <c r="K36" i="68"/>
  <c r="K65" i="68"/>
  <c r="G36" i="68"/>
  <c r="G65" i="68"/>
  <c r="M30" i="69"/>
  <c r="U44" i="68"/>
  <c r="I36" i="62"/>
  <c r="I65" i="62"/>
  <c r="J36" i="62"/>
  <c r="J44" i="62" s="1"/>
  <c r="J67" i="62" s="1"/>
  <c r="J65" i="62"/>
  <c r="M44" i="62"/>
  <c r="L44" i="62"/>
  <c r="L67" i="62" s="1"/>
  <c r="L66" i="62"/>
  <c r="K66" i="62"/>
  <c r="K44" i="62"/>
  <c r="K67" i="62" s="1"/>
  <c r="G36" i="62"/>
  <c r="G65" i="62"/>
  <c r="U44" i="62"/>
  <c r="K30" i="69"/>
  <c r="K36" i="50"/>
  <c r="K44" i="50" s="1"/>
  <c r="K67" i="50" s="1"/>
  <c r="K65" i="50"/>
  <c r="J36" i="50"/>
  <c r="J44" i="50" s="1"/>
  <c r="J67" i="50" s="1"/>
  <c r="J65" i="50"/>
  <c r="G36" i="50"/>
  <c r="G44" i="50" s="1"/>
  <c r="G67" i="50" s="1"/>
  <c r="G65" i="50"/>
  <c r="M36" i="50"/>
  <c r="G31" i="70" s="1"/>
  <c r="M65" i="50"/>
  <c r="L36" i="50"/>
  <c r="L65" i="50"/>
  <c r="I44" i="50"/>
  <c r="I67" i="50" s="1"/>
  <c r="I66" i="50"/>
  <c r="H44" i="50"/>
  <c r="H67" i="50" s="1"/>
  <c r="H66" i="50"/>
  <c r="G30" i="69"/>
  <c r="U44" i="50"/>
  <c r="J37" i="37"/>
  <c r="J66" i="37"/>
  <c r="I37" i="37"/>
  <c r="I45" i="37" s="1"/>
  <c r="I68" i="37" s="1"/>
  <c r="I66" i="37"/>
  <c r="M37" i="37"/>
  <c r="M67" i="37" s="1"/>
  <c r="M66" i="37"/>
  <c r="L37" i="37"/>
  <c r="L67" i="37" s="1"/>
  <c r="L66" i="37"/>
  <c r="G37" i="37"/>
  <c r="G45" i="37" s="1"/>
  <c r="G68" i="37" s="1"/>
  <c r="G66" i="37"/>
  <c r="L45" i="37"/>
  <c r="L68" i="37" s="1"/>
  <c r="K45" i="37"/>
  <c r="K68" i="37" s="1"/>
  <c r="K67" i="37"/>
  <c r="H45" i="37"/>
  <c r="H68" i="37" s="1"/>
  <c r="H67" i="37"/>
  <c r="M36" i="33"/>
  <c r="M66" i="33" s="1"/>
  <c r="M65" i="33"/>
  <c r="G36" i="33"/>
  <c r="G44" i="33" s="1"/>
  <c r="G67" i="33" s="1"/>
  <c r="G65" i="33"/>
  <c r="L44" i="33"/>
  <c r="L67" i="33" s="1"/>
  <c r="L66" i="33"/>
  <c r="H44" i="33"/>
  <c r="H67" i="33" s="1"/>
  <c r="H66" i="33"/>
  <c r="K36" i="33"/>
  <c r="K65" i="33"/>
  <c r="J36" i="33"/>
  <c r="J65" i="33"/>
  <c r="I36" i="33"/>
  <c r="I65" i="33"/>
  <c r="U44" i="33"/>
  <c r="O30" i="69"/>
  <c r="L36" i="11"/>
  <c r="L65" i="11"/>
  <c r="G36" i="11"/>
  <c r="G65" i="11"/>
  <c r="M44" i="11"/>
  <c r="K67" i="11"/>
  <c r="K66" i="11"/>
  <c r="J44" i="11"/>
  <c r="J67" i="11" s="1"/>
  <c r="J66" i="11"/>
  <c r="I67" i="11"/>
  <c r="I66" i="11"/>
  <c r="H36" i="11"/>
  <c r="H65" i="11"/>
  <c r="E30" i="69"/>
  <c r="U44" i="11"/>
  <c r="H37" i="10"/>
  <c r="H66" i="10"/>
  <c r="M37" i="10"/>
  <c r="M66" i="10"/>
  <c r="J45" i="10"/>
  <c r="J68" i="10" s="1"/>
  <c r="J67" i="10"/>
  <c r="I67" i="10"/>
  <c r="I68" i="10"/>
  <c r="G67" i="10"/>
  <c r="G68" i="10"/>
  <c r="L37" i="10"/>
  <c r="L66" i="10"/>
  <c r="K37" i="10"/>
  <c r="K66" i="10"/>
  <c r="U30" i="69"/>
  <c r="U45" i="10"/>
  <c r="J36" i="5"/>
  <c r="J65" i="5"/>
  <c r="G36" i="5"/>
  <c r="G65" i="5"/>
  <c r="T53" i="1"/>
  <c r="I36" i="5"/>
  <c r="I65" i="5"/>
  <c r="M36" i="5"/>
  <c r="S31" i="70" s="1"/>
  <c r="M65" i="5"/>
  <c r="L36" i="5"/>
  <c r="L65" i="5"/>
  <c r="K36" i="5"/>
  <c r="K44" i="5" s="1"/>
  <c r="K65" i="5"/>
  <c r="H36" i="5"/>
  <c r="H44" i="5" s="1"/>
  <c r="H65" i="5"/>
  <c r="U37" i="37"/>
  <c r="Q29" i="69"/>
  <c r="T50" i="1"/>
  <c r="U24" i="5"/>
  <c r="T29" i="5"/>
  <c r="T54" i="1"/>
  <c r="J66" i="50" l="1"/>
  <c r="G66" i="50"/>
  <c r="K44" i="55"/>
  <c r="I32" i="70" s="1"/>
  <c r="I31" i="70"/>
  <c r="H66" i="68"/>
  <c r="H44" i="62"/>
  <c r="H67" i="62" s="1"/>
  <c r="J66" i="62"/>
  <c r="M66" i="62"/>
  <c r="K66" i="50"/>
  <c r="G67" i="37"/>
  <c r="I67" i="37"/>
  <c r="G66" i="33"/>
  <c r="M66" i="11"/>
  <c r="M45" i="10"/>
  <c r="U31" i="70"/>
  <c r="M67" i="10"/>
  <c r="M67" i="62"/>
  <c r="K32" i="70"/>
  <c r="L44" i="50"/>
  <c r="L67" i="50" s="1"/>
  <c r="L66" i="50"/>
  <c r="M45" i="37"/>
  <c r="Q31" i="70"/>
  <c r="M44" i="33"/>
  <c r="O31" i="70"/>
  <c r="M67" i="11"/>
  <c r="E32" i="70"/>
  <c r="K51" i="1"/>
  <c r="AI67" i="55"/>
  <c r="AI66" i="55"/>
  <c r="AG44" i="55"/>
  <c r="AG67" i="55" s="1"/>
  <c r="AG66" i="55"/>
  <c r="I44" i="55"/>
  <c r="I67" i="55" s="1"/>
  <c r="I66" i="55"/>
  <c r="F66" i="55"/>
  <c r="F44" i="55"/>
  <c r="F67" i="55" s="1"/>
  <c r="E44" i="55"/>
  <c r="E67" i="55" s="1"/>
  <c r="E66" i="55"/>
  <c r="K29" i="1"/>
  <c r="M66" i="68"/>
  <c r="L66" i="68"/>
  <c r="J66" i="68"/>
  <c r="J44" i="68"/>
  <c r="J67" i="68" s="1"/>
  <c r="I44" i="62"/>
  <c r="I67" i="62" s="1"/>
  <c r="I66" i="62"/>
  <c r="M66" i="50"/>
  <c r="M44" i="50"/>
  <c r="J67" i="37"/>
  <c r="J45" i="37"/>
  <c r="J68" i="37" s="1"/>
  <c r="L44" i="11"/>
  <c r="L67" i="11" s="1"/>
  <c r="L66" i="11"/>
  <c r="H45" i="10"/>
  <c r="H68" i="10" s="1"/>
  <c r="H67" i="10"/>
  <c r="J66" i="5"/>
  <c r="J44" i="5"/>
  <c r="J67" i="5" s="1"/>
  <c r="K67" i="55"/>
  <c r="K66" i="55"/>
  <c r="J44" i="55"/>
  <c r="J67" i="55" s="1"/>
  <c r="J66" i="55"/>
  <c r="H44" i="55"/>
  <c r="H67" i="55" s="1"/>
  <c r="H66" i="55"/>
  <c r="G44" i="55"/>
  <c r="G67" i="55" s="1"/>
  <c r="G66" i="55"/>
  <c r="K44" i="68"/>
  <c r="K67" i="68" s="1"/>
  <c r="K66" i="68"/>
  <c r="G66" i="68"/>
  <c r="G44" i="68"/>
  <c r="G67" i="68" s="1"/>
  <c r="G66" i="62"/>
  <c r="G44" i="62"/>
  <c r="G67" i="62" s="1"/>
  <c r="K66" i="33"/>
  <c r="K44" i="33"/>
  <c r="K67" i="33" s="1"/>
  <c r="J66" i="33"/>
  <c r="J44" i="33"/>
  <c r="J67" i="33" s="1"/>
  <c r="I66" i="33"/>
  <c r="I44" i="33"/>
  <c r="I67" i="33" s="1"/>
  <c r="G44" i="11"/>
  <c r="G67" i="11" s="1"/>
  <c r="G66" i="11"/>
  <c r="H66" i="11"/>
  <c r="H44" i="11"/>
  <c r="H67" i="11" s="1"/>
  <c r="L67" i="10"/>
  <c r="L45" i="10"/>
  <c r="L68" i="10" s="1"/>
  <c r="K67" i="10"/>
  <c r="K45" i="10"/>
  <c r="K68" i="10" s="1"/>
  <c r="G44" i="5"/>
  <c r="G67" i="5" s="1"/>
  <c r="G66" i="5"/>
  <c r="I66" i="5"/>
  <c r="I44" i="5"/>
  <c r="I67" i="5" s="1"/>
  <c r="M66" i="5"/>
  <c r="M44" i="5"/>
  <c r="L44" i="5"/>
  <c r="L67" i="5" s="1"/>
  <c r="L66" i="5"/>
  <c r="K66" i="5"/>
  <c r="K67" i="5"/>
  <c r="H66" i="5"/>
  <c r="H67" i="5"/>
  <c r="U45" i="37"/>
  <c r="Q30" i="69"/>
  <c r="U29" i="5"/>
  <c r="T36" i="5"/>
  <c r="T44" i="5" s="1"/>
  <c r="K52" i="1" l="1"/>
  <c r="K33" i="1"/>
  <c r="M68" i="10"/>
  <c r="U32" i="70"/>
  <c r="M67" i="50"/>
  <c r="G32" i="70"/>
  <c r="Q32" i="70"/>
  <c r="M68" i="37"/>
  <c r="O32" i="70"/>
  <c r="M67" i="33"/>
  <c r="M67" i="5"/>
  <c r="S32" i="70"/>
  <c r="U36" i="5"/>
  <c r="S29" i="69"/>
  <c r="R18" i="2"/>
  <c r="Q18" i="2"/>
  <c r="K37" i="1" l="1"/>
  <c r="S30" i="69"/>
  <c r="U44" i="5"/>
  <c r="T33" i="1"/>
  <c r="T37" i="1" s="1"/>
  <c r="T51" i="1" l="1"/>
  <c r="T52" i="1"/>
  <c r="R46" i="1"/>
  <c r="R39" i="1"/>
  <c r="S26" i="1"/>
  <c r="S21" i="1"/>
  <c r="S25" i="1"/>
  <c r="S17" i="1"/>
  <c r="S16" i="1"/>
  <c r="R33" i="68"/>
  <c r="R32" i="68"/>
  <c r="R31" i="68"/>
  <c r="S51" i="68"/>
  <c r="S33" i="68"/>
  <c r="S32" i="68"/>
  <c r="S31" i="68"/>
  <c r="S19" i="68"/>
  <c r="R19" i="68"/>
  <c r="R24" i="68" s="1"/>
  <c r="R33" i="62"/>
  <c r="R32" i="62"/>
  <c r="R31" i="62"/>
  <c r="S51" i="62"/>
  <c r="S33" i="62"/>
  <c r="S32" i="62"/>
  <c r="S31" i="62"/>
  <c r="S19" i="62"/>
  <c r="S24" i="62" s="1"/>
  <c r="S29" i="62" s="1"/>
  <c r="R19" i="62"/>
  <c r="R24" i="62" s="1"/>
  <c r="R29" i="62" s="1"/>
  <c r="Q33" i="55"/>
  <c r="Q32" i="55"/>
  <c r="Q31" i="55"/>
  <c r="P31" i="55"/>
  <c r="P33" i="55"/>
  <c r="P26" i="55"/>
  <c r="Q19" i="55"/>
  <c r="Q24" i="55" s="1"/>
  <c r="Q29" i="55" s="1"/>
  <c r="Q36" i="55" s="1"/>
  <c r="Q44" i="55" s="1"/>
  <c r="P19" i="55"/>
  <c r="P24" i="55" s="1"/>
  <c r="P29" i="55" s="1"/>
  <c r="R31" i="50"/>
  <c r="R33" i="50"/>
  <c r="R32" i="50"/>
  <c r="S51" i="50"/>
  <c r="S33" i="50"/>
  <c r="S32" i="50"/>
  <c r="S31" i="50"/>
  <c r="S19" i="50"/>
  <c r="S24" i="50" s="1"/>
  <c r="S29" i="50" s="1"/>
  <c r="R19" i="50"/>
  <c r="R24" i="50" s="1"/>
  <c r="R29" i="50" s="1"/>
  <c r="R21" i="37"/>
  <c r="S52" i="37"/>
  <c r="S34" i="37"/>
  <c r="R34" i="37"/>
  <c r="S33" i="37"/>
  <c r="R33" i="37"/>
  <c r="S32" i="37"/>
  <c r="R32" i="37"/>
  <c r="S20" i="37"/>
  <c r="S25" i="37" s="1"/>
  <c r="S30" i="37" s="1"/>
  <c r="R20" i="37"/>
  <c r="R25" i="33"/>
  <c r="S51" i="33"/>
  <c r="S33" i="33"/>
  <c r="R33" i="33"/>
  <c r="S32" i="33"/>
  <c r="R32" i="33"/>
  <c r="S31" i="33"/>
  <c r="R31" i="33"/>
  <c r="S19" i="33"/>
  <c r="S24" i="33" s="1"/>
  <c r="S29" i="33" s="1"/>
  <c r="S36" i="33" s="1"/>
  <c r="S44" i="33" s="1"/>
  <c r="R19" i="33"/>
  <c r="R24" i="33" s="1"/>
  <c r="S51" i="11"/>
  <c r="S33" i="11"/>
  <c r="S32" i="11"/>
  <c r="R32" i="11"/>
  <c r="S31" i="11"/>
  <c r="R31" i="11"/>
  <c r="R33" i="11"/>
  <c r="S19" i="11"/>
  <c r="S24" i="11" s="1"/>
  <c r="S29" i="11" s="1"/>
  <c r="R19" i="11"/>
  <c r="R24" i="11" s="1"/>
  <c r="R29" i="11" s="1"/>
  <c r="S52" i="10"/>
  <c r="S34" i="10"/>
  <c r="R34" i="10"/>
  <c r="S33" i="10"/>
  <c r="R33" i="10"/>
  <c r="S32" i="10"/>
  <c r="R32" i="10"/>
  <c r="S20" i="10"/>
  <c r="S25" i="10" s="1"/>
  <c r="S30" i="10" s="1"/>
  <c r="R20" i="10"/>
  <c r="R25" i="10" s="1"/>
  <c r="R30" i="10" s="1"/>
  <c r="I52" i="7"/>
  <c r="I34" i="7"/>
  <c r="H34" i="7"/>
  <c r="I33" i="7"/>
  <c r="H33" i="7"/>
  <c r="I32" i="7"/>
  <c r="H32" i="7"/>
  <c r="I20" i="7"/>
  <c r="I25" i="7" s="1"/>
  <c r="I30" i="7" s="1"/>
  <c r="I37" i="7" s="1"/>
  <c r="I45" i="7" s="1"/>
  <c r="H20" i="7"/>
  <c r="H25" i="7" s="1"/>
  <c r="H30" i="7" s="1"/>
  <c r="S33" i="5"/>
  <c r="S36" i="50" l="1"/>
  <c r="S44" i="50" s="1"/>
  <c r="S37" i="10"/>
  <c r="S45" i="10" s="1"/>
  <c r="S36" i="62"/>
  <c r="S44" i="62" s="1"/>
  <c r="S36" i="11"/>
  <c r="S44" i="11" s="1"/>
  <c r="P32" i="55"/>
  <c r="S24" i="68"/>
  <c r="R29" i="68"/>
  <c r="R36" i="68" s="1"/>
  <c r="R44" i="68" s="1"/>
  <c r="R36" i="62"/>
  <c r="R44" i="62" s="1"/>
  <c r="P36" i="55"/>
  <c r="P44" i="55" s="1"/>
  <c r="R36" i="50"/>
  <c r="R44" i="50" s="1"/>
  <c r="S37" i="37"/>
  <c r="S45" i="37" s="1"/>
  <c r="R25" i="37"/>
  <c r="R30" i="37" s="1"/>
  <c r="R37" i="37" s="1"/>
  <c r="R45" i="37" s="1"/>
  <c r="R29" i="33"/>
  <c r="R36" i="33" s="1"/>
  <c r="R44" i="33" s="1"/>
  <c r="R36" i="11"/>
  <c r="R44" i="11" s="1"/>
  <c r="R37" i="10"/>
  <c r="R45" i="10" s="1"/>
  <c r="H37" i="7"/>
  <c r="H45" i="7" s="1"/>
  <c r="S29" i="68" l="1"/>
  <c r="S36" i="68" s="1"/>
  <c r="S44" i="68" s="1"/>
  <c r="S64" i="68"/>
  <c r="S51" i="5"/>
  <c r="R44" i="1" s="1"/>
  <c r="S32" i="5"/>
  <c r="S31" i="5"/>
  <c r="S19" i="5"/>
  <c r="S24" i="5" s="1"/>
  <c r="R19" i="5"/>
  <c r="S15" i="1"/>
  <c r="R41" i="1"/>
  <c r="S29" i="5" l="1"/>
  <c r="R24" i="5"/>
  <c r="S36" i="5" l="1"/>
  <c r="S44" i="5" s="1"/>
  <c r="R29" i="5"/>
  <c r="P43" i="2"/>
  <c r="R43" i="1" s="1"/>
  <c r="P18" i="2"/>
  <c r="O18" i="2"/>
  <c r="Q54" i="1"/>
  <c r="Q53" i="1"/>
  <c r="R47" i="1"/>
  <c r="R42" i="1"/>
  <c r="S18" i="1"/>
  <c r="S14" i="1"/>
  <c r="S13" i="1"/>
  <c r="S12" i="1"/>
  <c r="C4" i="68"/>
  <c r="S19" i="1" l="1"/>
  <c r="R36" i="5"/>
  <c r="R44" i="5" s="1"/>
  <c r="S27" i="1"/>
  <c r="S50" i="1"/>
  <c r="R50" i="1"/>
  <c r="R53" i="1"/>
  <c r="R48" i="1"/>
  <c r="R54" i="1" s="1"/>
  <c r="R51" i="1"/>
  <c r="M51" i="2"/>
  <c r="N51" i="2"/>
  <c r="O51" i="2"/>
  <c r="P51" i="2"/>
  <c r="Q51" i="2"/>
  <c r="R51" i="2"/>
  <c r="O52" i="2"/>
  <c r="P52" i="2"/>
  <c r="Q52" i="2"/>
  <c r="R52" i="2"/>
  <c r="M54" i="2"/>
  <c r="O54" i="2"/>
  <c r="P54" i="2"/>
  <c r="Q54" i="2"/>
  <c r="R54" i="2"/>
  <c r="M55" i="2"/>
  <c r="N55" i="2"/>
  <c r="O55" i="2"/>
  <c r="P55" i="2"/>
  <c r="Q55" i="2"/>
  <c r="R55" i="2"/>
  <c r="P41" i="1"/>
  <c r="R52" i="1" l="1"/>
  <c r="R33" i="1"/>
  <c r="R37" i="1" s="1"/>
  <c r="S51" i="1"/>
  <c r="S29" i="1"/>
  <c r="S52" i="1" s="1"/>
  <c r="P25" i="33"/>
  <c r="Q25" i="33"/>
  <c r="O52" i="37"/>
  <c r="O69" i="5"/>
  <c r="Q51" i="68"/>
  <c r="P26" i="68"/>
  <c r="P28" i="68"/>
  <c r="Q51" i="62"/>
  <c r="O51" i="50"/>
  <c r="N35" i="55"/>
  <c r="N34" i="55"/>
  <c r="Q33" i="1" l="1"/>
  <c r="Q37" i="1" s="1"/>
  <c r="S33" i="1"/>
  <c r="S37" i="1" s="1"/>
  <c r="N44" i="1"/>
  <c r="Q51" i="50"/>
  <c r="Q52" i="37"/>
  <c r="Q51" i="33"/>
  <c r="Q51" i="11"/>
  <c r="P27" i="11"/>
  <c r="Q52" i="10"/>
  <c r="G52" i="7"/>
  <c r="Q51" i="5"/>
  <c r="N43" i="2" l="1"/>
  <c r="Q31" i="68"/>
  <c r="Q32" i="68"/>
  <c r="Q33" i="68"/>
  <c r="O33" i="68"/>
  <c r="O32" i="68"/>
  <c r="O31" i="68"/>
  <c r="Q31" i="62"/>
  <c r="Q32" i="62"/>
  <c r="Q33" i="62"/>
  <c r="O33" i="62"/>
  <c r="O32" i="62"/>
  <c r="O31" i="62"/>
  <c r="N32" i="55"/>
  <c r="N31" i="55"/>
  <c r="O31" i="55"/>
  <c r="O32" i="55"/>
  <c r="N33" i="55"/>
  <c r="O33" i="55"/>
  <c r="M33" i="55"/>
  <c r="M32" i="55"/>
  <c r="Q31" i="50"/>
  <c r="Q32" i="50"/>
  <c r="Q33" i="50"/>
  <c r="O33" i="50"/>
  <c r="O32" i="50"/>
  <c r="O31" i="50"/>
  <c r="N54" i="2" l="1"/>
  <c r="P32" i="37"/>
  <c r="Q32" i="37"/>
  <c r="P33" i="37"/>
  <c r="Q33" i="37"/>
  <c r="P34" i="37"/>
  <c r="Q34" i="37"/>
  <c r="O34" i="37"/>
  <c r="O33" i="37"/>
  <c r="O32" i="37"/>
  <c r="P31" i="33"/>
  <c r="Q32" i="33"/>
  <c r="Q33" i="33"/>
  <c r="Q31" i="33"/>
  <c r="P32" i="33"/>
  <c r="P33" i="33"/>
  <c r="O33" i="33"/>
  <c r="O32" i="33"/>
  <c r="O31" i="33"/>
  <c r="P31" i="11"/>
  <c r="Q31" i="11"/>
  <c r="P32" i="11"/>
  <c r="Q32" i="11"/>
  <c r="P33" i="11"/>
  <c r="Q33" i="11"/>
  <c r="O33" i="11"/>
  <c r="O32" i="11"/>
  <c r="O31" i="11"/>
  <c r="P32" i="10"/>
  <c r="Q32" i="10"/>
  <c r="P33" i="10"/>
  <c r="Q33" i="10"/>
  <c r="P34" i="10"/>
  <c r="Q34" i="10"/>
  <c r="O34" i="10"/>
  <c r="O33" i="10"/>
  <c r="O32" i="10"/>
  <c r="F32" i="7"/>
  <c r="G32" i="7"/>
  <c r="F33" i="7"/>
  <c r="G33" i="7"/>
  <c r="F34" i="7"/>
  <c r="G34" i="7"/>
  <c r="E34" i="7"/>
  <c r="E33" i="7"/>
  <c r="E32" i="7"/>
  <c r="Q33" i="5"/>
  <c r="O33" i="5"/>
  <c r="Q32" i="5"/>
  <c r="O32" i="5"/>
  <c r="Q31" i="5"/>
  <c r="O31" i="5"/>
  <c r="N18" i="2" l="1"/>
  <c r="M18" i="2"/>
  <c r="L18" i="2"/>
  <c r="M52" i="2" l="1"/>
  <c r="N52" i="2"/>
  <c r="Q19" i="68" l="1"/>
  <c r="P19" i="68"/>
  <c r="P24" i="68" s="1"/>
  <c r="P29" i="68" s="1"/>
  <c r="P36" i="68" s="1"/>
  <c r="P44" i="68" s="1"/>
  <c r="O19" i="68"/>
  <c r="O24" i="68" s="1"/>
  <c r="O29" i="68" s="1"/>
  <c r="O36" i="68" s="1"/>
  <c r="O44" i="68" s="1"/>
  <c r="P19" i="62"/>
  <c r="P24" i="62" s="1"/>
  <c r="P29" i="62" s="1"/>
  <c r="P36" i="62" s="1"/>
  <c r="P44" i="62" s="1"/>
  <c r="Q19" i="62"/>
  <c r="Q24" i="62" s="1"/>
  <c r="Q29" i="62" s="1"/>
  <c r="Q36" i="62" s="1"/>
  <c r="Q44" i="62" s="1"/>
  <c r="O19" i="62"/>
  <c r="O24" i="62" s="1"/>
  <c r="O29" i="62" s="1"/>
  <c r="O36" i="62" s="1"/>
  <c r="O44" i="62" s="1"/>
  <c r="N19" i="55"/>
  <c r="N24" i="55" s="1"/>
  <c r="N29" i="55" s="1"/>
  <c r="N36" i="55" s="1"/>
  <c r="N44" i="55" s="1"/>
  <c r="O19" i="55"/>
  <c r="O24" i="55" s="1"/>
  <c r="O29" i="55" s="1"/>
  <c r="M19" i="55"/>
  <c r="M24" i="55" s="1"/>
  <c r="P19" i="50"/>
  <c r="P24" i="50" s="1"/>
  <c r="P29" i="50" s="1"/>
  <c r="P36" i="50" s="1"/>
  <c r="P44" i="50" s="1"/>
  <c r="Q19" i="50"/>
  <c r="Q24" i="50" s="1"/>
  <c r="Q29" i="50" s="1"/>
  <c r="Q36" i="50" s="1"/>
  <c r="Q44" i="50" s="1"/>
  <c r="O19" i="50"/>
  <c r="O24" i="50" s="1"/>
  <c r="O29" i="50" s="1"/>
  <c r="O36" i="50" s="1"/>
  <c r="O44" i="50" s="1"/>
  <c r="P20" i="37"/>
  <c r="P25" i="37" s="1"/>
  <c r="P30" i="37" s="1"/>
  <c r="P37" i="37" s="1"/>
  <c r="P45" i="37" s="1"/>
  <c r="Q20" i="37"/>
  <c r="Q25" i="37" s="1"/>
  <c r="Q30" i="37" s="1"/>
  <c r="Q37" i="37" s="1"/>
  <c r="Q45" i="37" s="1"/>
  <c r="O20" i="37"/>
  <c r="O30" i="37" s="1"/>
  <c r="Q19" i="33"/>
  <c r="P19" i="33"/>
  <c r="O19" i="33"/>
  <c r="O24" i="33" s="1"/>
  <c r="P19" i="11"/>
  <c r="P24" i="11" s="1"/>
  <c r="P29" i="11" s="1"/>
  <c r="P36" i="11" s="1"/>
  <c r="P44" i="11" s="1"/>
  <c r="Q19" i="11"/>
  <c r="Q24" i="11" s="1"/>
  <c r="Q29" i="11" s="1"/>
  <c r="Q36" i="11" s="1"/>
  <c r="Q44" i="11" s="1"/>
  <c r="O19" i="11"/>
  <c r="O24" i="11" s="1"/>
  <c r="O29" i="11" s="1"/>
  <c r="O36" i="11" s="1"/>
  <c r="O44" i="11" s="1"/>
  <c r="O20" i="10"/>
  <c r="O25" i="10" s="1"/>
  <c r="O30" i="10" s="1"/>
  <c r="O37" i="10" s="1"/>
  <c r="O45" i="10" s="1"/>
  <c r="E25" i="7"/>
  <c r="E30" i="7" s="1"/>
  <c r="E37" i="7" s="1"/>
  <c r="E45" i="7" s="1"/>
  <c r="E20" i="7"/>
  <c r="O19" i="5"/>
  <c r="Q20" i="10"/>
  <c r="Q25" i="10" s="1"/>
  <c r="Q30" i="10" s="1"/>
  <c r="Q37" i="10" s="1"/>
  <c r="Q45" i="10" s="1"/>
  <c r="P20" i="10"/>
  <c r="P25" i="10" s="1"/>
  <c r="P30" i="10" s="1"/>
  <c r="P37" i="10" s="1"/>
  <c r="P45" i="10" s="1"/>
  <c r="G20" i="7"/>
  <c r="G25" i="7" s="1"/>
  <c r="G30" i="7" s="1"/>
  <c r="F20" i="7"/>
  <c r="F25" i="7" s="1"/>
  <c r="F30" i="7" s="1"/>
  <c r="P42" i="1"/>
  <c r="P53" i="1" s="1"/>
  <c r="P47" i="1"/>
  <c r="Q19" i="5"/>
  <c r="P19" i="5"/>
  <c r="P24" i="5" s="1"/>
  <c r="P29" i="5" s="1"/>
  <c r="O50" i="11"/>
  <c r="O37" i="37" l="1"/>
  <c r="O45" i="37" s="1"/>
  <c r="O36" i="55"/>
  <c r="O44" i="55" s="1"/>
  <c r="P29" i="1"/>
  <c r="O24" i="5"/>
  <c r="N14" i="1"/>
  <c r="P36" i="5"/>
  <c r="P44" i="5" s="1"/>
  <c r="M29" i="55"/>
  <c r="Q24" i="68"/>
  <c r="Q29" i="68" s="1"/>
  <c r="Q36" i="68" s="1"/>
  <c r="Q44" i="68" s="1"/>
  <c r="Q64" i="68"/>
  <c r="F37" i="7"/>
  <c r="F45" i="7" s="1"/>
  <c r="G37" i="7"/>
  <c r="P24" i="33"/>
  <c r="P29" i="33" s="1"/>
  <c r="O33" i="1" s="1"/>
  <c r="O37" i="1" s="1"/>
  <c r="Q24" i="33"/>
  <c r="Q64" i="33" s="1"/>
  <c r="P48" i="1"/>
  <c r="P54" i="1" s="1"/>
  <c r="O53" i="1"/>
  <c r="O29" i="33"/>
  <c r="Q24" i="5"/>
  <c r="Q29" i="5" s="1"/>
  <c r="Q36" i="5" s="1"/>
  <c r="Q44" i="5" s="1"/>
  <c r="L43" i="2"/>
  <c r="N43" i="1" s="1"/>
  <c r="L52" i="2"/>
  <c r="L51" i="2"/>
  <c r="N46" i="1"/>
  <c r="O64" i="68"/>
  <c r="N33" i="1" l="1"/>
  <c r="P33" i="1"/>
  <c r="P52" i="1"/>
  <c r="O29" i="5"/>
  <c r="M36" i="55"/>
  <c r="M44" i="55" s="1"/>
  <c r="P36" i="33"/>
  <c r="P44" i="33" s="1"/>
  <c r="O36" i="33"/>
  <c r="O44" i="33" s="1"/>
  <c r="G45" i="7"/>
  <c r="P50" i="1"/>
  <c r="Q29" i="33"/>
  <c r="N50" i="1"/>
  <c r="O50" i="1"/>
  <c r="L54" i="2"/>
  <c r="N37" i="1" l="1"/>
  <c r="P51" i="1"/>
  <c r="N51" i="1"/>
  <c r="O36" i="5"/>
  <c r="O44" i="5" s="1"/>
  <c r="O51" i="1"/>
  <c r="Q36" i="33"/>
  <c r="Q44" i="33" s="1"/>
  <c r="Q67" i="33" s="1"/>
  <c r="N47" i="1"/>
  <c r="N42" i="1"/>
  <c r="N53" i="1" s="1"/>
  <c r="U69" i="62"/>
  <c r="T69" i="62"/>
  <c r="S69" i="62"/>
  <c r="R69" i="62"/>
  <c r="Q69" i="62"/>
  <c r="P69" i="62"/>
  <c r="U68" i="62"/>
  <c r="T68" i="62"/>
  <c r="S68" i="62"/>
  <c r="R68" i="62"/>
  <c r="Q68" i="62"/>
  <c r="P68" i="62"/>
  <c r="U67" i="62"/>
  <c r="S67" i="62"/>
  <c r="R67" i="62"/>
  <c r="Q67" i="62"/>
  <c r="U66" i="62"/>
  <c r="S66" i="62"/>
  <c r="Q66" i="62"/>
  <c r="U65" i="62"/>
  <c r="S65" i="62"/>
  <c r="Q65" i="62"/>
  <c r="P65" i="62"/>
  <c r="U64" i="62"/>
  <c r="S64" i="62"/>
  <c r="Q64" i="62"/>
  <c r="U63" i="62"/>
  <c r="S63" i="62"/>
  <c r="Q63" i="62"/>
  <c r="T67" i="62"/>
  <c r="P67" i="62"/>
  <c r="T66" i="62"/>
  <c r="P66" i="62"/>
  <c r="R66" i="62"/>
  <c r="T64" i="62"/>
  <c r="P64" i="62"/>
  <c r="R64" i="62"/>
  <c r="P63" i="62"/>
  <c r="T63" i="62"/>
  <c r="R63" i="62"/>
  <c r="S69" i="55"/>
  <c r="R69" i="55"/>
  <c r="Q69" i="55"/>
  <c r="P69" i="55"/>
  <c r="O69" i="55"/>
  <c r="N69" i="55"/>
  <c r="S68" i="55"/>
  <c r="R68" i="55"/>
  <c r="P68" i="55"/>
  <c r="O68" i="55"/>
  <c r="N68" i="55"/>
  <c r="S67" i="55"/>
  <c r="R67" i="55"/>
  <c r="Q67" i="55"/>
  <c r="O67" i="55"/>
  <c r="S66" i="55"/>
  <c r="Q66" i="55"/>
  <c r="O66" i="55"/>
  <c r="Q65" i="55"/>
  <c r="P65" i="55"/>
  <c r="O65" i="55"/>
  <c r="S64" i="55"/>
  <c r="Q64" i="55"/>
  <c r="O64" i="55"/>
  <c r="S63" i="55"/>
  <c r="Q63" i="55"/>
  <c r="O63" i="55"/>
  <c r="Q68" i="55"/>
  <c r="P67" i="55"/>
  <c r="N67" i="55"/>
  <c r="P66" i="55"/>
  <c r="N66" i="55"/>
  <c r="R65" i="55"/>
  <c r="P64" i="55"/>
  <c r="N65" i="55"/>
  <c r="R64" i="55"/>
  <c r="N64" i="55"/>
  <c r="P63" i="55"/>
  <c r="N63" i="55"/>
  <c r="R63" i="55"/>
  <c r="U69" i="50"/>
  <c r="T69" i="50"/>
  <c r="S69" i="50"/>
  <c r="R69" i="50"/>
  <c r="Q69" i="50"/>
  <c r="P69" i="50"/>
  <c r="U68" i="50"/>
  <c r="T68" i="50"/>
  <c r="R68" i="50"/>
  <c r="Q68" i="50"/>
  <c r="P68" i="50"/>
  <c r="U67" i="50"/>
  <c r="T67" i="50"/>
  <c r="S67" i="50"/>
  <c r="Q67" i="50"/>
  <c r="U66" i="50"/>
  <c r="S66" i="50"/>
  <c r="Q66" i="50"/>
  <c r="U65" i="50"/>
  <c r="S65" i="50"/>
  <c r="Q65" i="50"/>
  <c r="U64" i="50"/>
  <c r="S64" i="50"/>
  <c r="R64" i="50"/>
  <c r="Q64" i="50"/>
  <c r="U63" i="50"/>
  <c r="T63" i="50"/>
  <c r="S63" i="50"/>
  <c r="Q63" i="50"/>
  <c r="S68" i="50"/>
  <c r="R67" i="50"/>
  <c r="P67" i="50"/>
  <c r="R66" i="50"/>
  <c r="P66" i="50"/>
  <c r="T66" i="50"/>
  <c r="R65" i="50"/>
  <c r="T64" i="50"/>
  <c r="P65" i="50"/>
  <c r="P64" i="50"/>
  <c r="R63" i="50"/>
  <c r="P63" i="50"/>
  <c r="U70" i="37"/>
  <c r="T70" i="37"/>
  <c r="S70" i="37"/>
  <c r="R70" i="37"/>
  <c r="Q70" i="37"/>
  <c r="P70" i="37"/>
  <c r="U69" i="37"/>
  <c r="T69" i="37"/>
  <c r="R69" i="37"/>
  <c r="Q69" i="37"/>
  <c r="P69" i="37"/>
  <c r="U68" i="37"/>
  <c r="S68" i="37"/>
  <c r="Q68" i="37"/>
  <c r="U67" i="37"/>
  <c r="S67" i="37"/>
  <c r="Q67" i="37"/>
  <c r="U66" i="37"/>
  <c r="S66" i="37"/>
  <c r="Q66" i="37"/>
  <c r="U65" i="37"/>
  <c r="S65" i="37"/>
  <c r="Q65" i="37"/>
  <c r="U64" i="37"/>
  <c r="S64" i="37"/>
  <c r="Q64" i="37"/>
  <c r="S69" i="37"/>
  <c r="T68" i="37"/>
  <c r="R68" i="37"/>
  <c r="P68" i="37"/>
  <c r="T67" i="37"/>
  <c r="R67" i="37"/>
  <c r="P67" i="37"/>
  <c r="R66" i="37"/>
  <c r="T66" i="37"/>
  <c r="P66" i="37"/>
  <c r="T65" i="37"/>
  <c r="R65" i="37"/>
  <c r="P65" i="37"/>
  <c r="T64" i="37"/>
  <c r="R64" i="37"/>
  <c r="U69" i="33"/>
  <c r="T69" i="33"/>
  <c r="S69" i="33"/>
  <c r="R69" i="33"/>
  <c r="Q69" i="33"/>
  <c r="P69" i="33"/>
  <c r="U68" i="33"/>
  <c r="T68" i="33"/>
  <c r="R68" i="33"/>
  <c r="Q68" i="33"/>
  <c r="P68" i="33"/>
  <c r="U67" i="33"/>
  <c r="S67" i="33"/>
  <c r="U66" i="33"/>
  <c r="S66" i="33"/>
  <c r="Q66" i="33"/>
  <c r="U65" i="33"/>
  <c r="S65" i="33"/>
  <c r="Q65" i="33"/>
  <c r="U64" i="33"/>
  <c r="S64" i="33"/>
  <c r="R64" i="33"/>
  <c r="U63" i="33"/>
  <c r="S63" i="33"/>
  <c r="Q63" i="33"/>
  <c r="S68" i="33"/>
  <c r="T67" i="33"/>
  <c r="R67" i="33"/>
  <c r="P67" i="33"/>
  <c r="R66" i="33"/>
  <c r="P66" i="33"/>
  <c r="T66" i="33"/>
  <c r="R65" i="33"/>
  <c r="T64" i="33"/>
  <c r="P65" i="33"/>
  <c r="P64" i="33"/>
  <c r="R63" i="33"/>
  <c r="P63" i="33"/>
  <c r="T63" i="33"/>
  <c r="U69" i="11"/>
  <c r="T69" i="11"/>
  <c r="S69" i="11"/>
  <c r="R69" i="11"/>
  <c r="Q69" i="11"/>
  <c r="P69" i="11"/>
  <c r="U68" i="11"/>
  <c r="T68" i="11"/>
  <c r="S68" i="11"/>
  <c r="R68" i="11"/>
  <c r="Q68" i="11"/>
  <c r="P68" i="11"/>
  <c r="U67" i="11"/>
  <c r="S67" i="11"/>
  <c r="Q67" i="11"/>
  <c r="U66" i="11"/>
  <c r="S66" i="11"/>
  <c r="Q66" i="11"/>
  <c r="U65" i="11"/>
  <c r="S65" i="11"/>
  <c r="Q65" i="11"/>
  <c r="U64" i="11"/>
  <c r="S64" i="11"/>
  <c r="Q64" i="11"/>
  <c r="U63" i="11"/>
  <c r="S63" i="11"/>
  <c r="Q63" i="11"/>
  <c r="T67" i="11"/>
  <c r="R67" i="11"/>
  <c r="T66" i="11"/>
  <c r="R66" i="11"/>
  <c r="P66" i="11"/>
  <c r="T65" i="11"/>
  <c r="P65" i="11"/>
  <c r="R65" i="11"/>
  <c r="P64" i="11"/>
  <c r="T64" i="11"/>
  <c r="R63" i="11"/>
  <c r="T63" i="11"/>
  <c r="P63" i="11"/>
  <c r="U70" i="10"/>
  <c r="T70" i="10"/>
  <c r="S70" i="10"/>
  <c r="R70" i="10"/>
  <c r="Q70" i="10"/>
  <c r="P70" i="10"/>
  <c r="U69" i="10"/>
  <c r="T69" i="10"/>
  <c r="S69" i="10"/>
  <c r="R69" i="10"/>
  <c r="Q69" i="10"/>
  <c r="P69" i="10"/>
  <c r="U68" i="10"/>
  <c r="S68" i="10"/>
  <c r="Q68" i="10"/>
  <c r="U67" i="10"/>
  <c r="S67" i="10"/>
  <c r="Q67" i="10"/>
  <c r="U66" i="10"/>
  <c r="S66" i="10"/>
  <c r="Q66" i="10"/>
  <c r="P66" i="10"/>
  <c r="U65" i="10"/>
  <c r="S65" i="10"/>
  <c r="Q65" i="10"/>
  <c r="U64" i="10"/>
  <c r="S64" i="10"/>
  <c r="R64" i="10"/>
  <c r="Q64" i="10"/>
  <c r="T68" i="10"/>
  <c r="R68" i="10"/>
  <c r="P68" i="10"/>
  <c r="T67" i="10"/>
  <c r="R67" i="10"/>
  <c r="P67" i="10"/>
  <c r="T66" i="10"/>
  <c r="T65" i="10"/>
  <c r="R66" i="10"/>
  <c r="P65" i="10"/>
  <c r="R65" i="10"/>
  <c r="T64" i="10"/>
  <c r="P64" i="10"/>
  <c r="U69" i="5"/>
  <c r="T69" i="5"/>
  <c r="S69" i="5"/>
  <c r="R69" i="5"/>
  <c r="Q69" i="5"/>
  <c r="P69" i="5"/>
  <c r="U68" i="5"/>
  <c r="T68" i="5"/>
  <c r="S68" i="5"/>
  <c r="R68" i="5"/>
  <c r="Q68" i="5"/>
  <c r="P68" i="5"/>
  <c r="U67" i="5"/>
  <c r="T67" i="5"/>
  <c r="S67" i="5"/>
  <c r="R67" i="5"/>
  <c r="Q67" i="5"/>
  <c r="P67" i="5"/>
  <c r="U66" i="5"/>
  <c r="T66" i="5"/>
  <c r="S66" i="5"/>
  <c r="R66" i="5"/>
  <c r="Q66" i="5"/>
  <c r="P66" i="5"/>
  <c r="U65" i="5"/>
  <c r="T65" i="5"/>
  <c r="S65" i="5"/>
  <c r="R65" i="5"/>
  <c r="Q65" i="5"/>
  <c r="P65" i="5"/>
  <c r="U64" i="5"/>
  <c r="T64" i="5"/>
  <c r="S64" i="5"/>
  <c r="R64" i="5"/>
  <c r="Q64" i="5"/>
  <c r="P64" i="5"/>
  <c r="U63" i="5"/>
  <c r="T63" i="5"/>
  <c r="S63" i="5"/>
  <c r="R63" i="5"/>
  <c r="Q63" i="5"/>
  <c r="P63" i="5"/>
  <c r="K70" i="7"/>
  <c r="J70" i="7"/>
  <c r="I70" i="7"/>
  <c r="H70" i="7"/>
  <c r="G70" i="7"/>
  <c r="F70" i="7"/>
  <c r="K69" i="7"/>
  <c r="J69" i="7"/>
  <c r="I69" i="7"/>
  <c r="H69" i="7"/>
  <c r="G69" i="7"/>
  <c r="F69" i="7"/>
  <c r="K68" i="7"/>
  <c r="I68" i="7"/>
  <c r="G68" i="7"/>
  <c r="K67" i="7"/>
  <c r="I67" i="7"/>
  <c r="G67" i="7"/>
  <c r="K66" i="7"/>
  <c r="I66" i="7"/>
  <c r="G66" i="7"/>
  <c r="K65" i="7"/>
  <c r="I65" i="7"/>
  <c r="G65" i="7"/>
  <c r="K64" i="7"/>
  <c r="I64" i="7"/>
  <c r="G64" i="7"/>
  <c r="F64" i="7"/>
  <c r="H68" i="7"/>
  <c r="F68" i="7"/>
  <c r="J68" i="7"/>
  <c r="J67" i="7"/>
  <c r="H67" i="7"/>
  <c r="F67" i="7"/>
  <c r="H66" i="7"/>
  <c r="J66" i="7"/>
  <c r="F66" i="7"/>
  <c r="J65" i="7"/>
  <c r="H65" i="7"/>
  <c r="F65" i="7"/>
  <c r="J64" i="7"/>
  <c r="H64" i="7"/>
  <c r="R44" i="7"/>
  <c r="M20" i="69"/>
  <c r="M31" i="69" s="1"/>
  <c r="M25" i="69"/>
  <c r="V20" i="69"/>
  <c r="T20" i="69"/>
  <c r="R20" i="69"/>
  <c r="P20" i="69"/>
  <c r="L20" i="69"/>
  <c r="J20" i="69"/>
  <c r="H20" i="69"/>
  <c r="F20" i="69"/>
  <c r="U69" i="68"/>
  <c r="T69" i="68"/>
  <c r="S69" i="68"/>
  <c r="R69" i="68"/>
  <c r="Q69" i="68"/>
  <c r="P69" i="68"/>
  <c r="U68" i="68"/>
  <c r="T68" i="68"/>
  <c r="R68" i="68"/>
  <c r="Q68" i="68"/>
  <c r="P68" i="68"/>
  <c r="U67" i="68"/>
  <c r="S67" i="68"/>
  <c r="Q67" i="68"/>
  <c r="U66" i="68"/>
  <c r="S66" i="68"/>
  <c r="Q66" i="68"/>
  <c r="U65" i="68"/>
  <c r="S65" i="68"/>
  <c r="Q65" i="68"/>
  <c r="U64" i="68"/>
  <c r="U63" i="68"/>
  <c r="T63" i="68"/>
  <c r="S63" i="68"/>
  <c r="Q63" i="68"/>
  <c r="S68" i="68"/>
  <c r="T67" i="68"/>
  <c r="R67" i="68"/>
  <c r="P67" i="68"/>
  <c r="R66" i="68"/>
  <c r="P66" i="68"/>
  <c r="T66" i="68"/>
  <c r="T65" i="68"/>
  <c r="R65" i="68"/>
  <c r="P65" i="68"/>
  <c r="T64" i="68"/>
  <c r="P64" i="68"/>
  <c r="P63" i="68"/>
  <c r="R63" i="68"/>
  <c r="B13" i="68" a="1"/>
  <c r="B13" i="68" s="1"/>
  <c r="C2" i="11"/>
  <c r="C4" i="11" s="1"/>
  <c r="C1" i="10"/>
  <c r="C4" i="62"/>
  <c r="C4" i="55"/>
  <c r="C4" i="37"/>
  <c r="C4" i="33"/>
  <c r="C4" i="7"/>
  <c r="C4" i="5"/>
  <c r="P37" i="1" l="1"/>
  <c r="M26" i="69"/>
  <c r="O66" i="68"/>
  <c r="T65" i="62"/>
  <c r="R65" i="62"/>
  <c r="R66" i="55"/>
  <c r="T65" i="50"/>
  <c r="P64" i="37"/>
  <c r="T65" i="33"/>
  <c r="R64" i="11"/>
  <c r="P67" i="11"/>
  <c r="C20" i="69"/>
  <c r="C26" i="69" s="1"/>
  <c r="Q25" i="69"/>
  <c r="Q20" i="69"/>
  <c r="Q31" i="69" s="1"/>
  <c r="S20" i="69"/>
  <c r="S31" i="69" s="1"/>
  <c r="U20" i="69"/>
  <c r="U31" i="69" s="1"/>
  <c r="K25" i="69"/>
  <c r="K20" i="69"/>
  <c r="K31" i="69" s="1"/>
  <c r="G25" i="69"/>
  <c r="I20" i="69"/>
  <c r="I31" i="69" s="1"/>
  <c r="I25" i="69"/>
  <c r="E20" i="69"/>
  <c r="E31" i="69" s="1"/>
  <c r="W25" i="69"/>
  <c r="S25" i="69"/>
  <c r="O20" i="69"/>
  <c r="O31" i="69" s="1"/>
  <c r="U25" i="69"/>
  <c r="O25" i="69"/>
  <c r="E25" i="69"/>
  <c r="R64" i="68"/>
  <c r="AB32" i="1"/>
  <c r="E26" i="69" l="1"/>
  <c r="S26" i="69"/>
  <c r="Q26" i="69"/>
  <c r="O26" i="69"/>
  <c r="K26" i="69"/>
  <c r="I26" i="69"/>
  <c r="U26" i="69"/>
  <c r="O67" i="68"/>
  <c r="O63" i="68"/>
  <c r="O68" i="68"/>
  <c r="O69" i="68"/>
  <c r="O65" i="68"/>
  <c r="G20" i="69"/>
  <c r="G31" i="69" s="1"/>
  <c r="Z48" i="2"/>
  <c r="AB46" i="1" s="1"/>
  <c r="Z44" i="2"/>
  <c r="AB44" i="1" s="1"/>
  <c r="Z42" i="2"/>
  <c r="Z39" i="2"/>
  <c r="AB39" i="1" s="1"/>
  <c r="AB36" i="1"/>
  <c r="AA36" i="1" s="1"/>
  <c r="AB33" i="1" l="1"/>
  <c r="AB50" i="1"/>
  <c r="G26" i="69"/>
  <c r="Z43" i="2"/>
  <c r="W20" i="69"/>
  <c r="W26" i="69" s="1"/>
  <c r="W30" i="67"/>
  <c r="U30" i="67"/>
  <c r="Q30" i="67"/>
  <c r="O30" i="67"/>
  <c r="O29" i="67"/>
  <c r="G30" i="67"/>
  <c r="E30" i="67"/>
  <c r="E29" i="67"/>
  <c r="M31" i="67"/>
  <c r="M30" i="67"/>
  <c r="S30" i="67"/>
  <c r="W29" i="67"/>
  <c r="U29" i="67"/>
  <c r="S29" i="67"/>
  <c r="Q29" i="67"/>
  <c r="G29" i="67"/>
  <c r="AB52" i="1" l="1"/>
  <c r="K29" i="67"/>
  <c r="AB23" i="62"/>
  <c r="AC64" i="62"/>
  <c r="AB21" i="62" l="1"/>
  <c r="AB20" i="62"/>
  <c r="AB17" i="62"/>
  <c r="AB58" i="37"/>
  <c r="AB26" i="37"/>
  <c r="AB24" i="37"/>
  <c r="AB22" i="37"/>
  <c r="AB20" i="37"/>
  <c r="AB18" i="37"/>
  <c r="AB25" i="11"/>
  <c r="J55" i="47"/>
  <c r="J53" i="47"/>
  <c r="J42" i="47"/>
  <c r="J41" i="47"/>
  <c r="J40" i="47"/>
  <c r="J39" i="47"/>
  <c r="J38" i="47"/>
  <c r="J37" i="47"/>
  <c r="J36" i="47"/>
  <c r="J34" i="47"/>
  <c r="J33" i="47"/>
  <c r="J32" i="47"/>
  <c r="J31" i="47"/>
  <c r="J30" i="47"/>
  <c r="J29" i="47"/>
  <c r="J27" i="47"/>
  <c r="J26" i="47"/>
  <c r="J25" i="47"/>
  <c r="J24" i="47"/>
  <c r="J23" i="47"/>
  <c r="J22" i="47"/>
  <c r="J21" i="47"/>
  <c r="J20" i="47"/>
  <c r="J19" i="47"/>
  <c r="J18" i="47"/>
  <c r="J17" i="47"/>
  <c r="J16" i="47"/>
  <c r="J15" i="47"/>
  <c r="AB38" i="10"/>
  <c r="AB31" i="10"/>
  <c r="R38" i="7"/>
  <c r="AB57" i="5"/>
  <c r="AB5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Y24" i="2"/>
  <c r="Y34" i="2"/>
  <c r="Y33" i="2"/>
  <c r="Y30" i="2"/>
  <c r="Y17" i="2"/>
  <c r="Y16" i="2"/>
  <c r="Y15" i="2"/>
  <c r="Y14" i="2"/>
  <c r="Y12" i="2"/>
  <c r="Y11" i="2"/>
  <c r="Y10" i="2"/>
  <c r="AB47" i="1"/>
  <c r="AB42" i="1"/>
  <c r="AB35" i="1"/>
  <c r="AB37" i="1" s="1"/>
  <c r="X48" i="2"/>
  <c r="Z46" i="1" s="1"/>
  <c r="X44" i="2"/>
  <c r="X43" i="2" s="1"/>
  <c r="X19" i="2"/>
  <c r="Y19" i="2" s="1"/>
  <c r="W20" i="2"/>
  <c r="X13" i="2"/>
  <c r="Z42" i="1"/>
  <c r="W34" i="2"/>
  <c r="W29" i="2"/>
  <c r="W33" i="2"/>
  <c r="W30" i="2"/>
  <c r="W17" i="2"/>
  <c r="W16" i="2"/>
  <c r="W15" i="2"/>
  <c r="W14" i="2"/>
  <c r="W12" i="2"/>
  <c r="W11" i="2"/>
  <c r="W10" i="2"/>
  <c r="Y19" i="67"/>
  <c r="Y18" i="67"/>
  <c r="Y17" i="67"/>
  <c r="Y16" i="67"/>
  <c r="Y15" i="67"/>
  <c r="Y14" i="67"/>
  <c r="Y13" i="67"/>
  <c r="Y12" i="67"/>
  <c r="Y11" i="67"/>
  <c r="Y10" i="67"/>
  <c r="Y9" i="67"/>
  <c r="Y7" i="67"/>
  <c r="O20" i="67"/>
  <c r="O31" i="67" s="1"/>
  <c r="G20" i="67"/>
  <c r="G31" i="67" s="1"/>
  <c r="E20" i="67"/>
  <c r="E31" i="67" s="1"/>
  <c r="Q20" i="67"/>
  <c r="Q31" i="67" s="1"/>
  <c r="K20" i="67"/>
  <c r="C20" i="67"/>
  <c r="F20" i="67"/>
  <c r="H20" i="67"/>
  <c r="J20" i="67"/>
  <c r="L20" i="67"/>
  <c r="P20" i="67"/>
  <c r="B13" i="62" a="1"/>
  <c r="B13" i="62" s="1"/>
  <c r="B13" i="55" a="1"/>
  <c r="B13" i="55" s="1"/>
  <c r="B13" i="50" a="1"/>
  <c r="B13" i="50" s="1"/>
  <c r="F55" i="47"/>
  <c r="F53" i="47"/>
  <c r="B14" i="37" a="1"/>
  <c r="B14" i="37" s="1"/>
  <c r="B13" i="33" a="1"/>
  <c r="B13" i="33" s="1"/>
  <c r="X58" i="10"/>
  <c r="X56" i="10"/>
  <c r="Z38" i="10"/>
  <c r="Z31" i="10"/>
  <c r="B13" i="11" a="1"/>
  <c r="B13" i="11" s="1"/>
  <c r="P38" i="7"/>
  <c r="X57" i="5"/>
  <c r="Z37" i="5"/>
  <c r="Z30" i="5"/>
  <c r="Z47" i="1"/>
  <c r="Z32" i="1"/>
  <c r="AA32" i="1" s="1"/>
  <c r="Z31" i="1"/>
  <c r="AA31" i="1" s="1"/>
  <c r="Z35" i="1"/>
  <c r="Y36" i="1"/>
  <c r="W19" i="2" l="1"/>
  <c r="Y13" i="2"/>
  <c r="W13" i="2"/>
  <c r="AA35" i="1"/>
  <c r="Z44" i="62"/>
  <c r="O63" i="62"/>
  <c r="M68" i="55"/>
  <c r="M64" i="55"/>
  <c r="AB43" i="50"/>
  <c r="AB44" i="37"/>
  <c r="AB43" i="33"/>
  <c r="AB43" i="11"/>
  <c r="O68" i="11"/>
  <c r="Y20" i="2"/>
  <c r="Y27" i="2" s="1"/>
  <c r="Y31" i="2" s="1"/>
  <c r="Y35" i="2" s="1"/>
  <c r="Z48" i="1"/>
  <c r="AB18" i="62"/>
  <c r="AB22" i="62"/>
  <c r="AB35" i="62"/>
  <c r="AB40" i="62"/>
  <c r="AB44" i="62"/>
  <c r="AB26" i="62"/>
  <c r="AB31" i="62"/>
  <c r="AB19" i="62"/>
  <c r="AB27" i="62"/>
  <c r="AB32" i="62"/>
  <c r="AB36" i="62"/>
  <c r="AB55" i="62"/>
  <c r="AB24" i="62"/>
  <c r="AB28" i="62"/>
  <c r="AB33" i="62"/>
  <c r="AB38" i="62"/>
  <c r="AB42" i="62"/>
  <c r="AB57" i="62"/>
  <c r="AB25" i="62"/>
  <c r="AB29" i="62"/>
  <c r="AB34" i="62"/>
  <c r="AB39" i="62"/>
  <c r="AB43" i="62"/>
  <c r="Z18" i="55"/>
  <c r="Z22" i="55"/>
  <c r="Z26" i="55"/>
  <c r="Z32" i="55" s="1"/>
  <c r="Z35" i="55"/>
  <c r="Z17" i="55"/>
  <c r="Z27" i="55"/>
  <c r="Z33" i="55" s="1"/>
  <c r="Z23" i="55"/>
  <c r="Z40" i="55" s="1"/>
  <c r="Z55" i="55"/>
  <c r="Z28" i="55"/>
  <c r="Z31" i="55" s="1"/>
  <c r="Z38" i="55"/>
  <c r="Z42" i="55"/>
  <c r="Z57" i="55"/>
  <c r="Z21" i="55"/>
  <c r="AB25" i="50"/>
  <c r="AB18" i="50"/>
  <c r="AB22" i="50"/>
  <c r="AB26" i="50"/>
  <c r="AB31" i="50"/>
  <c r="AB35" i="50"/>
  <c r="AB40" i="50"/>
  <c r="AB44" i="50"/>
  <c r="AB21" i="50"/>
  <c r="AB19" i="50"/>
  <c r="AB23" i="50"/>
  <c r="AB27" i="50"/>
  <c r="AB32" i="50"/>
  <c r="AB36" i="50"/>
  <c r="AB55" i="50"/>
  <c r="AB20" i="50"/>
  <c r="AB24" i="50"/>
  <c r="AB28" i="50"/>
  <c r="AB33" i="50"/>
  <c r="AB38" i="50"/>
  <c r="AB42" i="50"/>
  <c r="AB57" i="50"/>
  <c r="AB17" i="50"/>
  <c r="AB29" i="50"/>
  <c r="AB39" i="50"/>
  <c r="AB19" i="37"/>
  <c r="AB23" i="37"/>
  <c r="AB27" i="37"/>
  <c r="AB32" i="37"/>
  <c r="AB36" i="37"/>
  <c r="AB41" i="37"/>
  <c r="AB45" i="37"/>
  <c r="AB28" i="37"/>
  <c r="AB33" i="37"/>
  <c r="AB37" i="37"/>
  <c r="AB56" i="37"/>
  <c r="AB21" i="37"/>
  <c r="AB25" i="37"/>
  <c r="AB29" i="37"/>
  <c r="AB34" i="37"/>
  <c r="AB39" i="37"/>
  <c r="AB43" i="37"/>
  <c r="AB30" i="37"/>
  <c r="AB35" i="37"/>
  <c r="AB40" i="37"/>
  <c r="AB18" i="33"/>
  <c r="AB22" i="33"/>
  <c r="AB35" i="33"/>
  <c r="AB40" i="33"/>
  <c r="AB44" i="33"/>
  <c r="AB26" i="33"/>
  <c r="AB31" i="33"/>
  <c r="AB19" i="33"/>
  <c r="AB27" i="33"/>
  <c r="AB32" i="33"/>
  <c r="AB36" i="33"/>
  <c r="AB21" i="33"/>
  <c r="AB55" i="33"/>
  <c r="AB20" i="33"/>
  <c r="AB24" i="33"/>
  <c r="AB28" i="33"/>
  <c r="AB33" i="33"/>
  <c r="AB38" i="33"/>
  <c r="AB42" i="33"/>
  <c r="AB17" i="33"/>
  <c r="AB57" i="33"/>
  <c r="AB25" i="33"/>
  <c r="AB29" i="33"/>
  <c r="AB34" i="33"/>
  <c r="AB39" i="33"/>
  <c r="AB57" i="11"/>
  <c r="AB55" i="11"/>
  <c r="AB17" i="11"/>
  <c r="AB21" i="11"/>
  <c r="AB18" i="11"/>
  <c r="AB22" i="11"/>
  <c r="AB26" i="11"/>
  <c r="AB31" i="11"/>
  <c r="AB35" i="11"/>
  <c r="AB40" i="11"/>
  <c r="AB44" i="11"/>
  <c r="AB29" i="11"/>
  <c r="AB19" i="11"/>
  <c r="AB32" i="11"/>
  <c r="AB36" i="11"/>
  <c r="AB27" i="11"/>
  <c r="AB20" i="11"/>
  <c r="AB24" i="11"/>
  <c r="AB28" i="11"/>
  <c r="AB33" i="11"/>
  <c r="AB38" i="11"/>
  <c r="AB42" i="11"/>
  <c r="Z25" i="62"/>
  <c r="Z24" i="62"/>
  <c r="Z26" i="62"/>
  <c r="Z18" i="62"/>
  <c r="Z28" i="62"/>
  <c r="Z38" i="62"/>
  <c r="Z35" i="62"/>
  <c r="Z20" i="62"/>
  <c r="Z21" i="62"/>
  <c r="Z39" i="62"/>
  <c r="Z42" i="62"/>
  <c r="Z33" i="62"/>
  <c r="Z19" i="62"/>
  <c r="Z55" i="62"/>
  <c r="Z22" i="62"/>
  <c r="Z31" i="62"/>
  <c r="Z40" i="62"/>
  <c r="Z43" i="62"/>
  <c r="Z27" i="62"/>
  <c r="Z17" i="62"/>
  <c r="Z57" i="62"/>
  <c r="Z32" i="62"/>
  <c r="X28" i="55"/>
  <c r="X31" i="55" s="1"/>
  <c r="X38" i="55"/>
  <c r="X57" i="55"/>
  <c r="X18" i="55"/>
  <c r="X35" i="55"/>
  <c r="X42" i="55"/>
  <c r="X26" i="55"/>
  <c r="X32" i="55" s="1"/>
  <c r="X27" i="55"/>
  <c r="X33" i="55" s="1"/>
  <c r="X55" i="55"/>
  <c r="X22" i="55"/>
  <c r="X17" i="55"/>
  <c r="X19" i="55" s="1"/>
  <c r="X23" i="55"/>
  <c r="X40" i="55" s="1"/>
  <c r="Z25" i="50"/>
  <c r="Z18" i="50"/>
  <c r="Z21" i="50"/>
  <c r="Z39" i="50"/>
  <c r="Z42" i="50"/>
  <c r="Z20" i="50"/>
  <c r="Z26" i="50"/>
  <c r="Z35" i="50"/>
  <c r="Z24" i="50"/>
  <c r="Z33" i="50"/>
  <c r="Z19" i="50"/>
  <c r="Z27" i="50"/>
  <c r="Z55" i="50"/>
  <c r="Z22" i="50"/>
  <c r="Z31" i="50"/>
  <c r="Z40" i="50"/>
  <c r="Z43" i="50"/>
  <c r="Z17" i="50"/>
  <c r="Z38" i="50"/>
  <c r="Z28" i="50"/>
  <c r="Z57" i="50"/>
  <c r="Z23" i="50"/>
  <c r="Z32" i="50"/>
  <c r="Z21" i="37"/>
  <c r="Z31" i="33"/>
  <c r="Z43" i="11"/>
  <c r="Z27" i="37"/>
  <c r="Z18" i="37"/>
  <c r="Z22" i="37"/>
  <c r="Z40" i="37"/>
  <c r="Z43" i="37"/>
  <c r="Z25" i="33"/>
  <c r="Z25" i="37"/>
  <c r="Z34" i="37"/>
  <c r="Z28" i="37"/>
  <c r="Z56" i="37"/>
  <c r="Z23" i="37"/>
  <c r="Z32" i="37"/>
  <c r="Z41" i="37"/>
  <c r="Z44" i="37"/>
  <c r="Z26" i="37"/>
  <c r="Z36" i="37"/>
  <c r="Z20" i="37"/>
  <c r="Z29" i="37"/>
  <c r="Z58" i="37"/>
  <c r="Z19" i="37"/>
  <c r="Z39" i="37"/>
  <c r="Z24" i="37"/>
  <c r="Z33" i="37"/>
  <c r="Z20" i="33"/>
  <c r="Z17" i="33"/>
  <c r="Z33" i="33"/>
  <c r="Z28" i="33"/>
  <c r="Z35" i="33"/>
  <c r="Z39" i="33"/>
  <c r="Z24" i="33"/>
  <c r="Z22" i="33"/>
  <c r="Z42" i="33"/>
  <c r="Z18" i="33"/>
  <c r="Z26" i="33"/>
  <c r="Z21" i="33"/>
  <c r="Z38" i="33"/>
  <c r="Z57" i="33"/>
  <c r="Z32" i="33"/>
  <c r="Z55" i="33"/>
  <c r="Z27" i="33"/>
  <c r="Z40" i="33"/>
  <c r="Z43" i="33"/>
  <c r="Z19" i="33"/>
  <c r="Z25" i="11"/>
  <c r="Z20" i="11"/>
  <c r="Z26" i="11"/>
  <c r="Z22" i="11"/>
  <c r="Z31" i="11"/>
  <c r="Z40" i="11"/>
  <c r="Z17" i="11"/>
  <c r="Z19" i="11"/>
  <c r="Z18" i="11"/>
  <c r="Z27" i="11"/>
  <c r="Z32" i="11"/>
  <c r="Z55" i="11"/>
  <c r="Z28" i="11"/>
  <c r="Z21" i="11"/>
  <c r="Z33" i="11"/>
  <c r="Z38" i="11"/>
  <c r="Z42" i="11"/>
  <c r="Z57" i="11"/>
  <c r="Y53" i="2" l="1"/>
  <c r="X24" i="55"/>
  <c r="Z19" i="55"/>
  <c r="Z24" i="55" s="1"/>
  <c r="X29" i="55"/>
  <c r="Z29" i="55"/>
  <c r="Z36" i="55" s="1"/>
  <c r="Z44" i="55" s="1"/>
  <c r="AB64" i="62"/>
  <c r="O68" i="62"/>
  <c r="O64" i="62"/>
  <c r="O66" i="62"/>
  <c r="O65" i="62"/>
  <c r="O67" i="62"/>
  <c r="O69" i="62"/>
  <c r="M67" i="55"/>
  <c r="M63" i="55"/>
  <c r="M65" i="55"/>
  <c r="M66" i="55"/>
  <c r="O69" i="50"/>
  <c r="O66" i="50"/>
  <c r="O64" i="50"/>
  <c r="O68" i="50"/>
  <c r="O63" i="50"/>
  <c r="O67" i="50"/>
  <c r="O65" i="50"/>
  <c r="O68" i="37"/>
  <c r="O70" i="37"/>
  <c r="O66" i="37"/>
  <c r="O69" i="37"/>
  <c r="O64" i="37"/>
  <c r="O67" i="37"/>
  <c r="O65" i="37"/>
  <c r="O69" i="33"/>
  <c r="O66" i="33"/>
  <c r="O65" i="33"/>
  <c r="O64" i="33"/>
  <c r="O68" i="33"/>
  <c r="O67" i="33"/>
  <c r="O63" i="33"/>
  <c r="O69" i="11"/>
  <c r="O64" i="11"/>
  <c r="O65" i="11"/>
  <c r="O66" i="11"/>
  <c r="O67" i="11"/>
  <c r="O63" i="11"/>
  <c r="AB34" i="50"/>
  <c r="AB23" i="33"/>
  <c r="AB34" i="11"/>
  <c r="Z23" i="33"/>
  <c r="Z64" i="33" s="1"/>
  <c r="Z18" i="1"/>
  <c r="Y18" i="1" s="1"/>
  <c r="Z45" i="37"/>
  <c r="Z37" i="37"/>
  <c r="Z30" i="37"/>
  <c r="Z44" i="33"/>
  <c r="Z36" i="33"/>
  <c r="Z29" i="33"/>
  <c r="Z36" i="62"/>
  <c r="Z29" i="62"/>
  <c r="Z44" i="50"/>
  <c r="Z36" i="50"/>
  <c r="Z29" i="50"/>
  <c r="Z44" i="11"/>
  <c r="Z36" i="11"/>
  <c r="Z29" i="11"/>
  <c r="AA50" i="62"/>
  <c r="Z34" i="62"/>
  <c r="Z34" i="50"/>
  <c r="AA50" i="50"/>
  <c r="AA51" i="37"/>
  <c r="Z35" i="37"/>
  <c r="Z34" i="33"/>
  <c r="AA50" i="33"/>
  <c r="Z24" i="11"/>
  <c r="AA65" i="11"/>
  <c r="Z35" i="11"/>
  <c r="AA50" i="11"/>
  <c r="Z34" i="11"/>
  <c r="X36" i="55" l="1"/>
  <c r="AA18" i="1"/>
  <c r="M26" i="67"/>
  <c r="C26" i="67"/>
  <c r="Y25" i="67"/>
  <c r="W25" i="67"/>
  <c r="U25" i="67"/>
  <c r="S25" i="67"/>
  <c r="Q25" i="67"/>
  <c r="O25" i="67"/>
  <c r="M25" i="67"/>
  <c r="K25" i="67"/>
  <c r="I25" i="67"/>
  <c r="G25" i="67"/>
  <c r="E25" i="67"/>
  <c r="C25" i="67"/>
  <c r="X20" i="67"/>
  <c r="W20" i="67"/>
  <c r="V20" i="67"/>
  <c r="U20" i="67"/>
  <c r="U31" i="67" s="1"/>
  <c r="T20" i="67"/>
  <c r="S20" i="67"/>
  <c r="R20" i="67"/>
  <c r="Q26" i="67"/>
  <c r="O26" i="67"/>
  <c r="K26" i="67"/>
  <c r="I26" i="67"/>
  <c r="G26" i="67"/>
  <c r="E26" i="67"/>
  <c r="B13" i="47" a="1"/>
  <c r="B13" i="47" s="1"/>
  <c r="B13" i="10" a="1"/>
  <c r="B13" i="10" s="1"/>
  <c r="B14" i="7" a="1"/>
  <c r="B14" i="7" s="1"/>
  <c r="V48" i="2"/>
  <c r="X46" i="1" s="1"/>
  <c r="X47" i="1"/>
  <c r="X44" i="1"/>
  <c r="X42" i="1"/>
  <c r="X39" i="1"/>
  <c r="X35" i="1"/>
  <c r="Y35" i="1" s="1"/>
  <c r="X32" i="1"/>
  <c r="Y31" i="1"/>
  <c r="X52" i="1"/>
  <c r="Y32" i="1" l="1"/>
  <c r="X33" i="1"/>
  <c r="X37" i="1"/>
  <c r="V52" i="2"/>
  <c r="X44" i="55"/>
  <c r="O70" i="10"/>
  <c r="O68" i="10"/>
  <c r="O65" i="10"/>
  <c r="N48" i="1"/>
  <c r="E69" i="7"/>
  <c r="W26" i="67"/>
  <c r="W31" i="67"/>
  <c r="S31" i="67"/>
  <c r="Y20" i="67"/>
  <c r="Y26" i="67" s="1"/>
  <c r="AB44" i="10"/>
  <c r="AB40" i="10"/>
  <c r="AB30" i="10"/>
  <c r="AB22" i="10"/>
  <c r="AB18" i="10"/>
  <c r="AB58" i="10"/>
  <c r="AB43" i="10"/>
  <c r="AB39" i="10"/>
  <c r="AB34" i="10"/>
  <c r="AB29" i="10"/>
  <c r="AB25" i="10"/>
  <c r="AB21" i="10"/>
  <c r="AB24" i="10"/>
  <c r="AB56" i="10"/>
  <c r="AB20" i="10"/>
  <c r="AB42" i="10"/>
  <c r="AB37" i="10"/>
  <c r="AB33" i="10"/>
  <c r="AB28" i="10"/>
  <c r="AB45" i="10"/>
  <c r="AB41" i="10"/>
  <c r="AB36" i="10"/>
  <c r="AB32" i="10"/>
  <c r="AB27" i="10"/>
  <c r="AB23" i="10"/>
  <c r="AB19" i="10"/>
  <c r="AB26" i="10"/>
  <c r="R40" i="7"/>
  <c r="R30" i="7"/>
  <c r="R18" i="7"/>
  <c r="R58" i="7"/>
  <c r="R21" i="7"/>
  <c r="R43" i="7"/>
  <c r="R39" i="7"/>
  <c r="R34" i="7"/>
  <c r="R29" i="7"/>
  <c r="R25" i="7"/>
  <c r="R26" i="7"/>
  <c r="R56" i="7"/>
  <c r="R42" i="7"/>
  <c r="R37" i="7"/>
  <c r="R33" i="7"/>
  <c r="R28" i="7"/>
  <c r="R24" i="7"/>
  <c r="R20" i="7"/>
  <c r="AB48" i="1"/>
  <c r="R45" i="7"/>
  <c r="R41" i="7"/>
  <c r="R36" i="7"/>
  <c r="R32" i="7"/>
  <c r="R27" i="7"/>
  <c r="R23" i="7"/>
  <c r="R19" i="7"/>
  <c r="R22" i="7"/>
  <c r="AA12" i="1"/>
  <c r="X48" i="1"/>
  <c r="U26" i="67"/>
  <c r="H23" i="47"/>
  <c r="H55" i="47"/>
  <c r="H53" i="47"/>
  <c r="Z33" i="10"/>
  <c r="Z27" i="10"/>
  <c r="Z44" i="10"/>
  <c r="Z21" i="10"/>
  <c r="Z26" i="10"/>
  <c r="Z40" i="10"/>
  <c r="Z58" i="10"/>
  <c r="Z43" i="10"/>
  <c r="Z39" i="10"/>
  <c r="Z34" i="10"/>
  <c r="Z29" i="10"/>
  <c r="Z25" i="10"/>
  <c r="Z28" i="10"/>
  <c r="Z20" i="10"/>
  <c r="Z18" i="10"/>
  <c r="Z56" i="10"/>
  <c r="Z42" i="10"/>
  <c r="Z24" i="10"/>
  <c r="Z41" i="10"/>
  <c r="Z32" i="10"/>
  <c r="Z23" i="10"/>
  <c r="Z19" i="10"/>
  <c r="Z22" i="10"/>
  <c r="Z55" i="5"/>
  <c r="Z57" i="5"/>
  <c r="P26" i="7"/>
  <c r="P56" i="7"/>
  <c r="P21" i="7"/>
  <c r="P18" i="7"/>
  <c r="P58" i="7"/>
  <c r="P43" i="7"/>
  <c r="P39" i="7"/>
  <c r="P34" i="7"/>
  <c r="P29" i="7"/>
  <c r="P25" i="7"/>
  <c r="P42" i="7"/>
  <c r="P28" i="7"/>
  <c r="P20" i="7"/>
  <c r="P22" i="7"/>
  <c r="P24" i="7"/>
  <c r="P19" i="7"/>
  <c r="P33" i="7"/>
  <c r="P41" i="7"/>
  <c r="P32" i="7"/>
  <c r="P27" i="7"/>
  <c r="P23" i="7"/>
  <c r="P44" i="7"/>
  <c r="P40" i="7"/>
  <c r="Z17" i="5"/>
  <c r="Z18" i="5"/>
  <c r="Z43" i="5"/>
  <c r="Z39" i="5"/>
  <c r="Z40" i="5"/>
  <c r="Z31" i="5"/>
  <c r="Z26" i="5"/>
  <c r="Z22" i="5"/>
  <c r="Z42" i="5"/>
  <c r="Z33" i="5"/>
  <c r="Z23" i="5"/>
  <c r="Z38" i="5"/>
  <c r="Z28" i="5"/>
  <c r="Z20" i="5"/>
  <c r="Z41" i="5"/>
  <c r="Z32" i="5"/>
  <c r="Z27" i="5"/>
  <c r="H24" i="47"/>
  <c r="H18" i="47"/>
  <c r="H32" i="47"/>
  <c r="H33" i="47"/>
  <c r="H25" i="47"/>
  <c r="H40" i="47"/>
  <c r="H39" i="47"/>
  <c r="H36" i="47"/>
  <c r="H37" i="47"/>
  <c r="H38" i="47"/>
  <c r="H41" i="47"/>
  <c r="H31" i="47"/>
  <c r="H29" i="47"/>
  <c r="H30" i="47"/>
  <c r="H15" i="47"/>
  <c r="H16" i="47"/>
  <c r="H21" i="47"/>
  <c r="H17" i="47"/>
  <c r="H20" i="47"/>
  <c r="H22" i="47"/>
  <c r="H26" i="47"/>
  <c r="H19" i="47"/>
  <c r="S26" i="67"/>
  <c r="X43" i="1"/>
  <c r="U11" i="2"/>
  <c r="U12" i="2"/>
  <c r="U13" i="2"/>
  <c r="U14" i="2"/>
  <c r="U15" i="2"/>
  <c r="U16" i="2"/>
  <c r="U17" i="2"/>
  <c r="U20" i="2"/>
  <c r="U30" i="2"/>
  <c r="U33" i="2"/>
  <c r="U29" i="2"/>
  <c r="W31" i="1" s="1"/>
  <c r="U34" i="2"/>
  <c r="U24" i="2"/>
  <c r="U10" i="2"/>
  <c r="X41" i="1"/>
  <c r="W36" i="1"/>
  <c r="W35" i="1"/>
  <c r="X55" i="62"/>
  <c r="X18" i="62"/>
  <c r="X19" i="62"/>
  <c r="X20" i="62"/>
  <c r="X21" i="62"/>
  <c r="X22" i="62"/>
  <c r="X24" i="62"/>
  <c r="X25" i="62"/>
  <c r="X26" i="62"/>
  <c r="X27" i="62"/>
  <c r="X28" i="62"/>
  <c r="X29" i="62"/>
  <c r="X30" i="62"/>
  <c r="X31" i="62"/>
  <c r="X32" i="62"/>
  <c r="X33" i="62"/>
  <c r="X34" i="62"/>
  <c r="X35" i="62"/>
  <c r="X36" i="62"/>
  <c r="X37" i="62"/>
  <c r="X38" i="62"/>
  <c r="X39" i="62"/>
  <c r="X40" i="62"/>
  <c r="X41" i="62"/>
  <c r="X42" i="62"/>
  <c r="X43" i="62"/>
  <c r="X44" i="62"/>
  <c r="X17" i="62"/>
  <c r="AC69" i="62"/>
  <c r="AB69" i="62"/>
  <c r="AA69" i="62"/>
  <c r="AC68" i="62"/>
  <c r="AB68" i="62"/>
  <c r="AA68" i="62"/>
  <c r="AC67" i="62"/>
  <c r="AB67" i="62"/>
  <c r="AA67" i="62"/>
  <c r="AC66" i="62"/>
  <c r="AB66" i="62"/>
  <c r="AA66" i="62"/>
  <c r="AC65" i="62"/>
  <c r="AB65" i="62"/>
  <c r="AA65" i="62"/>
  <c r="AA64" i="62"/>
  <c r="AC63" i="62"/>
  <c r="AB63" i="62"/>
  <c r="AA63" i="62"/>
  <c r="V18" i="55"/>
  <c r="V20" i="55"/>
  <c r="V21" i="55"/>
  <c r="V22" i="55"/>
  <c r="V23" i="55"/>
  <c r="V40" i="55" s="1"/>
  <c r="V26" i="55"/>
  <c r="V32" i="55" s="1"/>
  <c r="V27" i="55"/>
  <c r="V33" i="55" s="1"/>
  <c r="V28" i="55"/>
  <c r="V31" i="55" s="1"/>
  <c r="V34" i="55"/>
  <c r="V35" i="55"/>
  <c r="V37" i="55"/>
  <c r="V41" i="55"/>
  <c r="V42" i="55"/>
  <c r="V17" i="55"/>
  <c r="Y65" i="50"/>
  <c r="X55" i="50"/>
  <c r="X39" i="50"/>
  <c r="X40" i="50"/>
  <c r="X41" i="50"/>
  <c r="X42" i="50"/>
  <c r="X43" i="50"/>
  <c r="X44" i="50"/>
  <c r="X38" i="50"/>
  <c r="X32" i="50"/>
  <c r="X33" i="50"/>
  <c r="X34" i="50"/>
  <c r="X35" i="50"/>
  <c r="X36" i="50"/>
  <c r="X31" i="50"/>
  <c r="X25" i="50"/>
  <c r="X26" i="50"/>
  <c r="X27" i="50"/>
  <c r="X28" i="50"/>
  <c r="X29" i="50"/>
  <c r="X24" i="50"/>
  <c r="X18" i="50"/>
  <c r="X19" i="50"/>
  <c r="X20" i="50"/>
  <c r="X21" i="50"/>
  <c r="X22" i="50"/>
  <c r="X17" i="50"/>
  <c r="G63" i="47"/>
  <c r="F21" i="47"/>
  <c r="F20" i="47"/>
  <c r="G62" i="47"/>
  <c r="F37" i="47"/>
  <c r="F38" i="47"/>
  <c r="F39" i="47"/>
  <c r="F40" i="47"/>
  <c r="F41" i="47"/>
  <c r="F42" i="47"/>
  <c r="F29" i="47"/>
  <c r="F23" i="47"/>
  <c r="F22" i="47"/>
  <c r="F18" i="47"/>
  <c r="F36" i="47"/>
  <c r="F34" i="47"/>
  <c r="F33" i="47"/>
  <c r="F32" i="47"/>
  <c r="F31" i="47"/>
  <c r="F30" i="47"/>
  <c r="F27" i="47"/>
  <c r="F26" i="47"/>
  <c r="F25" i="47"/>
  <c r="F24" i="47"/>
  <c r="F19" i="47"/>
  <c r="F17" i="47"/>
  <c r="F16" i="47"/>
  <c r="F15" i="47"/>
  <c r="Y66" i="37"/>
  <c r="Y70" i="37"/>
  <c r="Y69" i="37"/>
  <c r="Y68" i="37"/>
  <c r="Y67" i="37"/>
  <c r="Y65" i="37"/>
  <c r="Y64" i="37"/>
  <c r="X56" i="37"/>
  <c r="X45" i="37"/>
  <c r="X44" i="37"/>
  <c r="X43" i="37"/>
  <c r="X42" i="37"/>
  <c r="X41" i="37"/>
  <c r="X40" i="37"/>
  <c r="X39" i="37"/>
  <c r="X37" i="37"/>
  <c r="X36" i="37"/>
  <c r="X35" i="37"/>
  <c r="X34" i="37"/>
  <c r="X33" i="37"/>
  <c r="X32" i="37"/>
  <c r="X30" i="37"/>
  <c r="X29" i="37"/>
  <c r="X28" i="37"/>
  <c r="X27" i="37"/>
  <c r="X26" i="37"/>
  <c r="X25" i="37"/>
  <c r="X19" i="37"/>
  <c r="X20" i="37"/>
  <c r="X21" i="37"/>
  <c r="X22" i="37"/>
  <c r="X23" i="37"/>
  <c r="X18" i="37"/>
  <c r="Y69" i="33"/>
  <c r="Y68" i="33"/>
  <c r="Y67" i="33"/>
  <c r="Y66" i="33"/>
  <c r="Y65" i="33"/>
  <c r="Y64" i="33"/>
  <c r="Y63" i="33"/>
  <c r="X55" i="33"/>
  <c r="X44" i="33"/>
  <c r="X43" i="33"/>
  <c r="X42" i="33"/>
  <c r="X41" i="33"/>
  <c r="X40" i="33"/>
  <c r="X39" i="33"/>
  <c r="X38" i="33"/>
  <c r="X37" i="33"/>
  <c r="X36" i="33"/>
  <c r="X35" i="33"/>
  <c r="X34" i="33"/>
  <c r="X33" i="33"/>
  <c r="X32" i="33"/>
  <c r="X31" i="33"/>
  <c r="X29" i="33"/>
  <c r="X28" i="33"/>
  <c r="X27" i="33"/>
  <c r="X26" i="33"/>
  <c r="X25" i="33"/>
  <c r="X24" i="33"/>
  <c r="X18" i="33"/>
  <c r="X19" i="33"/>
  <c r="X20" i="33"/>
  <c r="X21" i="33"/>
  <c r="X22" i="33"/>
  <c r="X17" i="33"/>
  <c r="X25" i="11"/>
  <c r="Y69" i="11"/>
  <c r="Y68" i="11"/>
  <c r="Y67" i="11"/>
  <c r="Y66" i="11"/>
  <c r="Y65" i="11"/>
  <c r="Y64" i="11"/>
  <c r="Y63" i="11"/>
  <c r="X69" i="11"/>
  <c r="X68" i="11"/>
  <c r="X18" i="11"/>
  <c r="X19" i="11"/>
  <c r="X20" i="11"/>
  <c r="X21" i="11"/>
  <c r="X22" i="11"/>
  <c r="X24" i="11"/>
  <c r="X26" i="11"/>
  <c r="X27" i="11"/>
  <c r="X28" i="11"/>
  <c r="X29" i="11"/>
  <c r="X31" i="11"/>
  <c r="X32" i="11"/>
  <c r="X33" i="11"/>
  <c r="X34" i="11"/>
  <c r="X35" i="11"/>
  <c r="X36" i="11"/>
  <c r="X38" i="11"/>
  <c r="X40" i="11"/>
  <c r="X42" i="11"/>
  <c r="X43" i="11"/>
  <c r="X44" i="11"/>
  <c r="X55" i="11"/>
  <c r="X57" i="11"/>
  <c r="X17" i="11"/>
  <c r="Y65" i="10"/>
  <c r="X24" i="10"/>
  <c r="X25" i="10"/>
  <c r="X26" i="10"/>
  <c r="X27" i="10"/>
  <c r="X28" i="10"/>
  <c r="X29" i="10"/>
  <c r="X30" i="10"/>
  <c r="X31" i="10"/>
  <c r="X32" i="10"/>
  <c r="X33" i="10"/>
  <c r="X34" i="10"/>
  <c r="X35" i="10"/>
  <c r="X36" i="10"/>
  <c r="X37" i="10"/>
  <c r="X38" i="10"/>
  <c r="X39" i="10"/>
  <c r="X40" i="10"/>
  <c r="X41" i="10"/>
  <c r="X42" i="10"/>
  <c r="X43" i="10"/>
  <c r="X44" i="10"/>
  <c r="X45" i="10"/>
  <c r="X19" i="10"/>
  <c r="X20" i="10"/>
  <c r="X21" i="10"/>
  <c r="X22" i="10"/>
  <c r="X23" i="10"/>
  <c r="X18" i="10"/>
  <c r="N45" i="7"/>
  <c r="N44" i="7"/>
  <c r="N43" i="7"/>
  <c r="N42" i="7"/>
  <c r="N41" i="7"/>
  <c r="N40" i="7"/>
  <c r="N39" i="7"/>
  <c r="N38" i="7"/>
  <c r="N37" i="7"/>
  <c r="N36" i="7"/>
  <c r="N35" i="7"/>
  <c r="N34" i="7"/>
  <c r="N33" i="7"/>
  <c r="N32" i="7"/>
  <c r="N19" i="7"/>
  <c r="N20" i="7"/>
  <c r="N21" i="7"/>
  <c r="N22" i="7"/>
  <c r="N23" i="7"/>
  <c r="N24" i="7"/>
  <c r="N25" i="7"/>
  <c r="N26" i="7"/>
  <c r="N27" i="7"/>
  <c r="N28" i="7"/>
  <c r="N29" i="7"/>
  <c r="N30" i="7"/>
  <c r="N18" i="7"/>
  <c r="X55" i="5"/>
  <c r="X18" i="5"/>
  <c r="X19" i="5"/>
  <c r="X20" i="5"/>
  <c r="X21" i="5"/>
  <c r="X22" i="5"/>
  <c r="X23" i="5"/>
  <c r="X24" i="5"/>
  <c r="X25" i="5"/>
  <c r="X26" i="5"/>
  <c r="X27" i="5"/>
  <c r="X28" i="5"/>
  <c r="X29" i="5"/>
  <c r="X31" i="5"/>
  <c r="X32" i="5"/>
  <c r="X33" i="5"/>
  <c r="X34" i="5"/>
  <c r="X35" i="5"/>
  <c r="X36" i="5"/>
  <c r="X38" i="5"/>
  <c r="X39" i="5"/>
  <c r="X40" i="5"/>
  <c r="X41" i="5"/>
  <c r="X42" i="5"/>
  <c r="X43" i="5"/>
  <c r="X44" i="5"/>
  <c r="X17" i="5"/>
  <c r="W53" i="2" l="1"/>
  <c r="W31" i="2"/>
  <c r="W35" i="2" s="1"/>
  <c r="N54" i="1"/>
  <c r="O54" i="1"/>
  <c r="V19" i="55"/>
  <c r="V24" i="55" s="1"/>
  <c r="V29" i="55" s="1"/>
  <c r="V36" i="55" s="1"/>
  <c r="O64" i="10"/>
  <c r="O69" i="10"/>
  <c r="O67" i="10"/>
  <c r="O66" i="10"/>
  <c r="E68" i="7"/>
  <c r="E70" i="7"/>
  <c r="E65" i="7"/>
  <c r="E66" i="7"/>
  <c r="E64" i="7"/>
  <c r="E67" i="7"/>
  <c r="O64" i="5"/>
  <c r="O68" i="5"/>
  <c r="O66" i="5"/>
  <c r="O63" i="5"/>
  <c r="O67" i="5"/>
  <c r="O65" i="5"/>
  <c r="AB35" i="10"/>
  <c r="AA13" i="1"/>
  <c r="R35" i="7"/>
  <c r="AB43" i="1"/>
  <c r="AA25" i="1"/>
  <c r="Z21" i="5"/>
  <c r="Y16" i="1"/>
  <c r="Y14" i="1"/>
  <c r="Z19" i="5"/>
  <c r="Z24" i="5"/>
  <c r="Z45" i="10"/>
  <c r="Z37" i="10"/>
  <c r="Z30" i="10"/>
  <c r="Z44" i="5"/>
  <c r="Z36" i="5"/>
  <c r="Z29" i="5"/>
  <c r="H42" i="47"/>
  <c r="H34" i="47"/>
  <c r="H27" i="47"/>
  <c r="P45" i="7"/>
  <c r="P37" i="7"/>
  <c r="P30" i="7"/>
  <c r="Z35" i="10"/>
  <c r="Z36" i="10"/>
  <c r="X64" i="11"/>
  <c r="X66" i="11"/>
  <c r="X67" i="11"/>
  <c r="X63" i="11"/>
  <c r="AA51" i="10"/>
  <c r="Q51" i="7"/>
  <c r="P35" i="7"/>
  <c r="P36" i="7"/>
  <c r="Z34" i="5"/>
  <c r="Z35" i="5"/>
  <c r="Z25" i="5"/>
  <c r="X65" i="11"/>
  <c r="AA21" i="1"/>
  <c r="Y17" i="1"/>
  <c r="Y13" i="1"/>
  <c r="Z33" i="1"/>
  <c r="Z37" i="1" s="1"/>
  <c r="Z39" i="1"/>
  <c r="AA15" i="1"/>
  <c r="AA50" i="5"/>
  <c r="Y12" i="1"/>
  <c r="Z44" i="1"/>
  <c r="I48" i="47"/>
  <c r="Y66" i="5"/>
  <c r="Y64" i="5"/>
  <c r="Y67" i="5"/>
  <c r="Y65" i="5"/>
  <c r="Y68" i="5"/>
  <c r="AA19" i="1" l="1"/>
  <c r="AA29" i="1"/>
  <c r="AA33" i="1" s="1"/>
  <c r="AA37" i="1" s="1"/>
  <c r="V44" i="55"/>
  <c r="AA17" i="1"/>
  <c r="Y26" i="1"/>
  <c r="AA26" i="1"/>
  <c r="AA16" i="1"/>
  <c r="AA14" i="1"/>
  <c r="Z43" i="1"/>
  <c r="Y29" i="1"/>
  <c r="Y33" i="1" s="1"/>
  <c r="Y37" i="1" s="1"/>
  <c r="Y21" i="1"/>
  <c r="Y15" i="1"/>
  <c r="Y19" i="1"/>
  <c r="V67" i="55" l="1"/>
  <c r="Y51" i="1"/>
  <c r="W15" i="1" l="1"/>
  <c r="W14" i="1"/>
  <c r="W12" i="1"/>
  <c r="W25" i="1"/>
  <c r="T52" i="2"/>
  <c r="W21" i="1"/>
  <c r="V32" i="1"/>
  <c r="W32" i="1" l="1"/>
  <c r="V33" i="1"/>
  <c r="W27" i="1"/>
  <c r="W18" i="1"/>
  <c r="W16" i="1"/>
  <c r="W13" i="1"/>
  <c r="V47" i="1"/>
  <c r="V42" i="1"/>
  <c r="V53" i="1" s="1"/>
  <c r="AD36" i="1"/>
  <c r="V37" i="1" l="1"/>
  <c r="W26" i="1"/>
  <c r="V48" i="1"/>
  <c r="W65" i="62" l="1"/>
  <c r="AH20" i="62"/>
  <c r="AF20" i="62"/>
  <c r="AK21" i="37"/>
  <c r="AK20" i="33"/>
  <c r="AI20" i="33"/>
  <c r="S70" i="7"/>
  <c r="R70" i="7"/>
  <c r="Q70" i="7"/>
  <c r="P70" i="7"/>
  <c r="O70" i="7"/>
  <c r="N70" i="7"/>
  <c r="M70" i="7"/>
  <c r="S69" i="7"/>
  <c r="R69" i="7"/>
  <c r="Q69" i="7"/>
  <c r="P69" i="7"/>
  <c r="O69" i="7"/>
  <c r="N69" i="7"/>
  <c r="M69" i="7"/>
  <c r="S68" i="7"/>
  <c r="R68" i="7"/>
  <c r="Q68" i="7"/>
  <c r="P68" i="7"/>
  <c r="O68" i="7"/>
  <c r="N68" i="7"/>
  <c r="M68" i="7"/>
  <c r="S67" i="7"/>
  <c r="R67" i="7"/>
  <c r="Q67" i="7"/>
  <c r="P67" i="7"/>
  <c r="O67" i="7"/>
  <c r="N67" i="7"/>
  <c r="M67" i="7"/>
  <c r="S66" i="7"/>
  <c r="R66" i="7"/>
  <c r="Q66" i="7"/>
  <c r="P66" i="7"/>
  <c r="O66" i="7"/>
  <c r="N66" i="7"/>
  <c r="M66" i="7"/>
  <c r="S65" i="7"/>
  <c r="R65" i="7"/>
  <c r="Q65" i="7"/>
  <c r="P65" i="7"/>
  <c r="O65" i="7"/>
  <c r="N65" i="7"/>
  <c r="M65" i="7"/>
  <c r="S64" i="7"/>
  <c r="R64" i="7"/>
  <c r="Q64" i="7"/>
  <c r="P64" i="7"/>
  <c r="O64" i="7"/>
  <c r="N64" i="7"/>
  <c r="M64" i="7"/>
  <c r="AC69" i="5"/>
  <c r="AB69" i="5"/>
  <c r="AA69" i="5"/>
  <c r="Z69" i="5"/>
  <c r="Y69" i="5"/>
  <c r="X69" i="5"/>
  <c r="W69" i="5"/>
  <c r="AC68" i="5"/>
  <c r="AB68" i="5"/>
  <c r="AA68" i="5"/>
  <c r="Z68" i="5"/>
  <c r="X68" i="5"/>
  <c r="W68" i="5"/>
  <c r="AC67" i="5"/>
  <c r="AB67" i="5"/>
  <c r="AA67" i="5"/>
  <c r="Z67" i="5"/>
  <c r="AC66" i="5"/>
  <c r="AB66" i="5"/>
  <c r="AA66" i="5"/>
  <c r="Z66" i="5"/>
  <c r="X66" i="5"/>
  <c r="W66" i="5"/>
  <c r="AC65" i="5"/>
  <c r="AB65" i="5"/>
  <c r="AA65" i="5"/>
  <c r="Z65" i="5"/>
  <c r="X65" i="5"/>
  <c r="W65" i="5"/>
  <c r="AC64" i="5"/>
  <c r="AB64" i="5"/>
  <c r="AA64" i="5"/>
  <c r="Z64" i="5"/>
  <c r="X64" i="5"/>
  <c r="W64" i="5"/>
  <c r="AC63" i="5"/>
  <c r="AB63" i="5"/>
  <c r="AA63" i="5"/>
  <c r="Z63" i="5"/>
  <c r="Y63" i="5"/>
  <c r="X63" i="5"/>
  <c r="W63" i="5"/>
  <c r="AB54" i="1"/>
  <c r="AA54" i="1"/>
  <c r="Z54" i="1"/>
  <c r="Y54" i="1"/>
  <c r="X54" i="1"/>
  <c r="W54" i="1"/>
  <c r="V54" i="1"/>
  <c r="AB53" i="1"/>
  <c r="AA53" i="1"/>
  <c r="Z53" i="1"/>
  <c r="Y53" i="1"/>
  <c r="X53" i="1"/>
  <c r="W53" i="1"/>
  <c r="AB51" i="1"/>
  <c r="AA51" i="1"/>
  <c r="Z51" i="1"/>
  <c r="V51" i="1"/>
  <c r="AA50" i="1"/>
  <c r="Z50" i="1"/>
  <c r="Y50" i="1"/>
  <c r="X50" i="1"/>
  <c r="W50" i="1"/>
  <c r="V50" i="1"/>
  <c r="Z55" i="2"/>
  <c r="Y55" i="2"/>
  <c r="W55" i="2"/>
  <c r="V55" i="2"/>
  <c r="Z54" i="2"/>
  <c r="Y54" i="2"/>
  <c r="W54" i="2"/>
  <c r="V54" i="2"/>
  <c r="U54" i="2"/>
  <c r="Z52" i="2"/>
  <c r="X52" i="2"/>
  <c r="Z51" i="2"/>
  <c r="X51" i="2"/>
  <c r="V51" i="2"/>
  <c r="T51" i="2"/>
  <c r="X55" i="2"/>
  <c r="U55" i="2"/>
  <c r="T54" i="2"/>
  <c r="X54" i="2"/>
  <c r="Y51" i="2"/>
  <c r="AC15" i="62"/>
  <c r="AB15" i="62"/>
  <c r="Z69" i="62"/>
  <c r="Y69" i="62"/>
  <c r="X69" i="62"/>
  <c r="W69" i="62"/>
  <c r="Z68" i="62"/>
  <c r="Y68" i="62"/>
  <c r="X68" i="62"/>
  <c r="W68" i="62"/>
  <c r="Z67" i="62"/>
  <c r="X66" i="62"/>
  <c r="Z65" i="62"/>
  <c r="X65" i="62"/>
  <c r="Z64" i="62"/>
  <c r="X64" i="62"/>
  <c r="Z63" i="62"/>
  <c r="X63" i="62"/>
  <c r="Z66" i="62"/>
  <c r="W66" i="62"/>
  <c r="W64" i="62"/>
  <c r="W63" i="62"/>
  <c r="Y63" i="62"/>
  <c r="Z69" i="55"/>
  <c r="Y69" i="55"/>
  <c r="X69" i="55"/>
  <c r="W69" i="55"/>
  <c r="V69" i="55"/>
  <c r="U69" i="55"/>
  <c r="AA68" i="55"/>
  <c r="Z68" i="55"/>
  <c r="Y68" i="55"/>
  <c r="X68" i="55"/>
  <c r="W68" i="55"/>
  <c r="V68" i="55"/>
  <c r="U68" i="55"/>
  <c r="Y67" i="55"/>
  <c r="W67" i="55"/>
  <c r="U67" i="55"/>
  <c r="Y66" i="55"/>
  <c r="W66" i="55"/>
  <c r="U66" i="55"/>
  <c r="Y65" i="55"/>
  <c r="W65" i="55"/>
  <c r="U65" i="55"/>
  <c r="AA64" i="55"/>
  <c r="Y64" i="55"/>
  <c r="W64" i="55"/>
  <c r="AA63" i="55"/>
  <c r="Y63" i="55"/>
  <c r="W63" i="55"/>
  <c r="X65" i="55"/>
  <c r="V64" i="55"/>
  <c r="X64" i="55"/>
  <c r="U64" i="55"/>
  <c r="X63" i="55"/>
  <c r="V63" i="55"/>
  <c r="AC69" i="50"/>
  <c r="AB69" i="50"/>
  <c r="AA69" i="50"/>
  <c r="Z69" i="50"/>
  <c r="Y69" i="50"/>
  <c r="X69" i="50"/>
  <c r="W69" i="50"/>
  <c r="AC68" i="50"/>
  <c r="AB68" i="50"/>
  <c r="AA68" i="50"/>
  <c r="Z68" i="50"/>
  <c r="Y68" i="50"/>
  <c r="X68" i="50"/>
  <c r="W68" i="50"/>
  <c r="AC67" i="50"/>
  <c r="AA67" i="50"/>
  <c r="Y67" i="50"/>
  <c r="W67" i="50"/>
  <c r="AA66" i="50"/>
  <c r="Y66" i="50"/>
  <c r="W66" i="50"/>
  <c r="AA65" i="50"/>
  <c r="W65" i="50"/>
  <c r="AC64" i="50"/>
  <c r="AA64" i="50"/>
  <c r="Y64" i="50"/>
  <c r="AC63" i="50"/>
  <c r="AA63" i="50"/>
  <c r="Y63" i="50"/>
  <c r="W63" i="50"/>
  <c r="X67" i="50"/>
  <c r="AB67" i="50"/>
  <c r="Z67" i="50"/>
  <c r="X66" i="50"/>
  <c r="Z66" i="50"/>
  <c r="Z65" i="50"/>
  <c r="AC65" i="50"/>
  <c r="X65" i="50"/>
  <c r="AB64" i="50"/>
  <c r="Z64" i="50"/>
  <c r="X64" i="50"/>
  <c r="W64" i="50"/>
  <c r="AB63" i="50"/>
  <c r="Z63" i="50"/>
  <c r="X63" i="50"/>
  <c r="K67" i="47"/>
  <c r="J67" i="47"/>
  <c r="I67" i="47"/>
  <c r="H67" i="47"/>
  <c r="G67" i="47"/>
  <c r="F67" i="47"/>
  <c r="E67" i="47"/>
  <c r="K66" i="47"/>
  <c r="J66" i="47"/>
  <c r="I66" i="47"/>
  <c r="H66" i="47"/>
  <c r="G66" i="47"/>
  <c r="F66" i="47"/>
  <c r="E66" i="47"/>
  <c r="I65" i="47"/>
  <c r="G65" i="47"/>
  <c r="E65" i="47"/>
  <c r="I64" i="47"/>
  <c r="E64" i="47"/>
  <c r="K63" i="47"/>
  <c r="I63" i="47"/>
  <c r="E63" i="47"/>
  <c r="K62" i="47"/>
  <c r="I62" i="47"/>
  <c r="E62" i="47"/>
  <c r="K61" i="47"/>
  <c r="I61" i="47"/>
  <c r="G61" i="47"/>
  <c r="E61" i="47"/>
  <c r="F65" i="47"/>
  <c r="K65" i="47"/>
  <c r="J65" i="47"/>
  <c r="J64" i="47"/>
  <c r="H65" i="47"/>
  <c r="G64" i="47"/>
  <c r="H63" i="47"/>
  <c r="F63" i="47"/>
  <c r="J63" i="47"/>
  <c r="F62" i="47"/>
  <c r="J62" i="47"/>
  <c r="H62" i="47"/>
  <c r="J61" i="47"/>
  <c r="H61" i="47"/>
  <c r="F61" i="47"/>
  <c r="AC70" i="37"/>
  <c r="AB70" i="37"/>
  <c r="AA70" i="37"/>
  <c r="Z70" i="37"/>
  <c r="X70" i="37"/>
  <c r="W70" i="37"/>
  <c r="AC69" i="37"/>
  <c r="AB69" i="37"/>
  <c r="AA69" i="37"/>
  <c r="Z69" i="37"/>
  <c r="X69" i="37"/>
  <c r="W69" i="37"/>
  <c r="AC68" i="37"/>
  <c r="AB68" i="37"/>
  <c r="AA68" i="37"/>
  <c r="W68" i="37"/>
  <c r="AA67" i="37"/>
  <c r="W67" i="37"/>
  <c r="AC66" i="37"/>
  <c r="AA66" i="37"/>
  <c r="W66" i="37"/>
  <c r="AC65" i="37"/>
  <c r="AA65" i="37"/>
  <c r="AC64" i="37"/>
  <c r="AA64" i="37"/>
  <c r="X64" i="37"/>
  <c r="W64" i="37"/>
  <c r="Z68" i="37"/>
  <c r="X68" i="37"/>
  <c r="Z66" i="37"/>
  <c r="AB66" i="37"/>
  <c r="X66" i="37"/>
  <c r="W65" i="37"/>
  <c r="X65" i="37"/>
  <c r="AB65" i="37"/>
  <c r="Z65" i="37"/>
  <c r="AB64" i="37"/>
  <c r="Z64" i="37"/>
  <c r="AC69" i="33"/>
  <c r="AB69" i="33"/>
  <c r="AA69" i="33"/>
  <c r="Z69" i="33"/>
  <c r="X69" i="33"/>
  <c r="W69" i="33"/>
  <c r="AC68" i="33"/>
  <c r="AB68" i="33"/>
  <c r="AA68" i="33"/>
  <c r="Z68" i="33"/>
  <c r="X68" i="33"/>
  <c r="W68" i="33"/>
  <c r="AC67" i="33"/>
  <c r="AA67" i="33"/>
  <c r="AA66" i="33"/>
  <c r="W66" i="33"/>
  <c r="AC65" i="33"/>
  <c r="AA65" i="33"/>
  <c r="W65" i="33"/>
  <c r="AC64" i="33"/>
  <c r="AA64" i="33"/>
  <c r="AC63" i="33"/>
  <c r="AA63" i="33"/>
  <c r="W63" i="33"/>
  <c r="AB67" i="33"/>
  <c r="W67" i="33"/>
  <c r="Z67" i="33"/>
  <c r="AC66" i="33"/>
  <c r="Z66" i="33"/>
  <c r="AB64" i="33"/>
  <c r="Z65" i="33"/>
  <c r="X65" i="33"/>
  <c r="Z63" i="33"/>
  <c r="W64" i="33"/>
  <c r="AB63" i="33"/>
  <c r="AC69" i="11"/>
  <c r="AB69" i="11"/>
  <c r="AA69" i="11"/>
  <c r="Z69" i="11"/>
  <c r="W69" i="11"/>
  <c r="AC68" i="11"/>
  <c r="AB68" i="11"/>
  <c r="AA68" i="11"/>
  <c r="Z68" i="11"/>
  <c r="W68" i="11"/>
  <c r="AC67" i="11"/>
  <c r="AA67" i="11"/>
  <c r="W67" i="11"/>
  <c r="AC66" i="11"/>
  <c r="AA66" i="11"/>
  <c r="W66" i="11"/>
  <c r="AC65" i="11"/>
  <c r="W65" i="11"/>
  <c r="AC64" i="11"/>
  <c r="AA64" i="11"/>
  <c r="AC63" i="11"/>
  <c r="AA63" i="11"/>
  <c r="W63" i="11"/>
  <c r="AB66" i="11"/>
  <c r="Z67" i="11"/>
  <c r="Z66" i="11"/>
  <c r="Z65" i="11"/>
  <c r="AB65" i="11"/>
  <c r="AB64" i="11"/>
  <c r="Z63" i="11"/>
  <c r="W64" i="11"/>
  <c r="AB63" i="11"/>
  <c r="AC70" i="10"/>
  <c r="AB70" i="10"/>
  <c r="AA70" i="10"/>
  <c r="Z70" i="10"/>
  <c r="Y70" i="10"/>
  <c r="X70" i="10"/>
  <c r="W70" i="10"/>
  <c r="AC69" i="10"/>
  <c r="AB69" i="10"/>
  <c r="AA69" i="10"/>
  <c r="Z69" i="10"/>
  <c r="Y69" i="10"/>
  <c r="X69" i="10"/>
  <c r="W69" i="10"/>
  <c r="AC68" i="10"/>
  <c r="AB68" i="10"/>
  <c r="AA68" i="10"/>
  <c r="Z68" i="10"/>
  <c r="Y68" i="10"/>
  <c r="X68" i="10"/>
  <c r="W68" i="10"/>
  <c r="AC67" i="10"/>
  <c r="AB67" i="10"/>
  <c r="AA67" i="10"/>
  <c r="Z67" i="10"/>
  <c r="Y67" i="10"/>
  <c r="X67" i="10"/>
  <c r="W67" i="10"/>
  <c r="AC66" i="10"/>
  <c r="AB66" i="10"/>
  <c r="AA66" i="10"/>
  <c r="Z66" i="10"/>
  <c r="Y66" i="10"/>
  <c r="X66" i="10"/>
  <c r="W66" i="10"/>
  <c r="AC65" i="10"/>
  <c r="AB65" i="10"/>
  <c r="AA65" i="10"/>
  <c r="Z65" i="10"/>
  <c r="X65" i="10"/>
  <c r="W65" i="10"/>
  <c r="AC64" i="10"/>
  <c r="AB64" i="10"/>
  <c r="AA64" i="10"/>
  <c r="Z64" i="10"/>
  <c r="Y64" i="10"/>
  <c r="X64" i="10"/>
  <c r="W64" i="10"/>
  <c r="AH41" i="37"/>
  <c r="AG26" i="2"/>
  <c r="AG24" i="2"/>
  <c r="AG34" i="2"/>
  <c r="AG29" i="2"/>
  <c r="AG33" i="2"/>
  <c r="AG30" i="2"/>
  <c r="AG20" i="2"/>
  <c r="AG19" i="2"/>
  <c r="AG18" i="2"/>
  <c r="AG17" i="2"/>
  <c r="AG16" i="2"/>
  <c r="AG15" i="2"/>
  <c r="AG14" i="2"/>
  <c r="AG13" i="2"/>
  <c r="AG10" i="2"/>
  <c r="AG51" i="2" s="1"/>
  <c r="AH8" i="2"/>
  <c r="Z8" i="2" s="1"/>
  <c r="R8" i="2" s="1"/>
  <c r="J8" i="2" s="1"/>
  <c r="AG8" i="2"/>
  <c r="Y8" i="2" s="1"/>
  <c r="Q8" i="2" s="1"/>
  <c r="I8" i="2" s="1"/>
  <c r="AK34" i="5"/>
  <c r="AK66" i="5" s="1"/>
  <c r="AA35" i="7"/>
  <c r="AA67" i="7" s="1"/>
  <c r="AK35" i="10"/>
  <c r="AJ35" i="10" s="1"/>
  <c r="AK34" i="11"/>
  <c r="AJ34" i="11" s="1"/>
  <c r="AK34" i="33"/>
  <c r="AJ34" i="33" s="1"/>
  <c r="AK35" i="37"/>
  <c r="AJ35" i="37" s="1"/>
  <c r="S32" i="47"/>
  <c r="S64" i="47" s="1"/>
  <c r="AK34" i="50"/>
  <c r="AK66" i="50" s="1"/>
  <c r="J43" i="4"/>
  <c r="AH34" i="62"/>
  <c r="AG34" i="62" s="1"/>
  <c r="J54" i="4"/>
  <c r="I54" i="4" s="1"/>
  <c r="J76" i="4"/>
  <c r="S41" i="47"/>
  <c r="S65" i="47" s="1"/>
  <c r="S63" i="47"/>
  <c r="AK44" i="10"/>
  <c r="AJ44" i="10" s="1"/>
  <c r="AK26" i="10"/>
  <c r="AK66" i="10" s="1"/>
  <c r="Z40" i="7"/>
  <c r="AA27" i="7"/>
  <c r="Z24" i="7"/>
  <c r="AA70" i="7"/>
  <c r="AA69" i="7"/>
  <c r="AA68" i="7"/>
  <c r="AA65" i="7"/>
  <c r="AA64" i="7"/>
  <c r="Z70" i="7"/>
  <c r="Z69" i="7"/>
  <c r="AK25" i="5"/>
  <c r="Z19" i="7"/>
  <c r="Z20" i="7"/>
  <c r="Z21" i="7"/>
  <c r="Z22" i="7"/>
  <c r="Z23" i="7"/>
  <c r="Z25" i="7"/>
  <c r="Z26" i="7"/>
  <c r="Z28" i="7"/>
  <c r="Z29" i="7"/>
  <c r="Z30" i="7"/>
  <c r="Z32" i="7"/>
  <c r="Z34" i="7"/>
  <c r="Z36" i="7"/>
  <c r="Z37" i="7"/>
  <c r="Z39" i="7"/>
  <c r="Z44" i="7"/>
  <c r="Z45" i="7"/>
  <c r="Z18" i="7"/>
  <c r="AA16" i="7"/>
  <c r="S16" i="7" s="1"/>
  <c r="K16" i="7" s="1"/>
  <c r="Z16" i="7"/>
  <c r="R16" i="7" s="1"/>
  <c r="J16" i="7" s="1"/>
  <c r="AJ19" i="10"/>
  <c r="AJ20" i="10"/>
  <c r="AJ21" i="10"/>
  <c r="AJ22" i="10"/>
  <c r="AJ23" i="10"/>
  <c r="AJ24" i="10"/>
  <c r="AJ25" i="10"/>
  <c r="AJ27" i="10"/>
  <c r="AJ28" i="10"/>
  <c r="AJ29" i="10"/>
  <c r="AJ30" i="10"/>
  <c r="AJ31" i="10"/>
  <c r="AJ32" i="10"/>
  <c r="AJ33" i="10"/>
  <c r="AJ34" i="10"/>
  <c r="AJ36" i="10"/>
  <c r="AJ37" i="10"/>
  <c r="AJ38" i="10"/>
  <c r="AJ39" i="10"/>
  <c r="AJ40" i="10"/>
  <c r="AJ41" i="10"/>
  <c r="AJ42" i="10"/>
  <c r="AJ43" i="10"/>
  <c r="AJ45" i="10"/>
  <c r="AJ70" i="10"/>
  <c r="AJ18" i="10"/>
  <c r="AK69" i="10"/>
  <c r="AK16" i="10"/>
  <c r="AC16" i="10" s="1"/>
  <c r="U16" i="10" s="1"/>
  <c r="M16" i="10" s="1"/>
  <c r="AJ16" i="10"/>
  <c r="AB16" i="10" s="1"/>
  <c r="T16" i="10" s="1"/>
  <c r="L16" i="10" s="1"/>
  <c r="AJ18" i="5"/>
  <c r="AJ20" i="5"/>
  <c r="AJ21" i="5"/>
  <c r="AJ22" i="5"/>
  <c r="AJ23" i="5"/>
  <c r="AJ26" i="5"/>
  <c r="AJ27" i="5"/>
  <c r="AJ28" i="5"/>
  <c r="AJ30" i="5"/>
  <c r="AJ31" i="5"/>
  <c r="AJ32" i="5"/>
  <c r="AJ33" i="5"/>
  <c r="AJ35" i="5"/>
  <c r="AJ37" i="5"/>
  <c r="AJ38" i="5"/>
  <c r="AJ39" i="5"/>
  <c r="AJ40" i="5"/>
  <c r="AJ41" i="5"/>
  <c r="AJ42" i="5"/>
  <c r="AJ43" i="5"/>
  <c r="AJ69" i="5"/>
  <c r="AJ68" i="5"/>
  <c r="AJ17" i="5"/>
  <c r="AK67" i="5"/>
  <c r="AK69" i="5"/>
  <c r="AK68" i="5"/>
  <c r="AJ19" i="37"/>
  <c r="AJ20" i="37"/>
  <c r="AJ22" i="37"/>
  <c r="AJ23" i="37"/>
  <c r="AJ24" i="37"/>
  <c r="AJ26" i="37"/>
  <c r="AJ27" i="37"/>
  <c r="AJ28" i="37"/>
  <c r="AJ29" i="37"/>
  <c r="AJ30" i="37"/>
  <c r="AJ31" i="37"/>
  <c r="AJ32" i="37"/>
  <c r="AJ33" i="37"/>
  <c r="AJ34" i="37"/>
  <c r="AJ36" i="37"/>
  <c r="AJ37" i="37"/>
  <c r="AJ38" i="37"/>
  <c r="AJ39" i="37"/>
  <c r="AJ40" i="37"/>
  <c r="AJ41" i="37"/>
  <c r="AJ42" i="37"/>
  <c r="AJ43" i="37"/>
  <c r="AJ44" i="37"/>
  <c r="AJ45" i="37"/>
  <c r="AJ70" i="37"/>
  <c r="AJ69" i="37"/>
  <c r="AJ18" i="37"/>
  <c r="AK65" i="37"/>
  <c r="AK66" i="37"/>
  <c r="AK70" i="37"/>
  <c r="AK64" i="37"/>
  <c r="AK16" i="37"/>
  <c r="AC16" i="37" s="1"/>
  <c r="U16" i="37" s="1"/>
  <c r="M16" i="37" s="1"/>
  <c r="AJ16" i="37"/>
  <c r="AB16" i="37" s="1"/>
  <c r="T16" i="37" s="1"/>
  <c r="L16" i="37" s="1"/>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5" i="4"/>
  <c r="I80" i="4"/>
  <c r="AJ46" i="1"/>
  <c r="J74" i="4"/>
  <c r="J23" i="4"/>
  <c r="I23" i="4"/>
  <c r="AJ18" i="33"/>
  <c r="AJ19" i="33"/>
  <c r="AJ21" i="33"/>
  <c r="AJ22" i="33"/>
  <c r="AJ23" i="33"/>
  <c r="AJ24" i="33"/>
  <c r="AJ25" i="33"/>
  <c r="AJ26" i="33"/>
  <c r="AJ27" i="33"/>
  <c r="AJ28" i="33"/>
  <c r="AJ29" i="33"/>
  <c r="AJ30" i="33"/>
  <c r="AJ31" i="33"/>
  <c r="AJ32" i="33"/>
  <c r="AJ33" i="33"/>
  <c r="AJ35" i="33"/>
  <c r="AJ36" i="33"/>
  <c r="AJ37" i="33"/>
  <c r="AJ38" i="33"/>
  <c r="AJ39" i="33"/>
  <c r="AJ40" i="33"/>
  <c r="AJ41" i="33"/>
  <c r="AJ42" i="33"/>
  <c r="AJ43" i="33"/>
  <c r="AJ44" i="33"/>
  <c r="AJ68" i="33"/>
  <c r="AJ17" i="33"/>
  <c r="AK65" i="33"/>
  <c r="AK67" i="33"/>
  <c r="AK68" i="33"/>
  <c r="AG44" i="62"/>
  <c r="AG43" i="62"/>
  <c r="AG42" i="62"/>
  <c r="AG41" i="62"/>
  <c r="AG39" i="62"/>
  <c r="AG38" i="62"/>
  <c r="AG37" i="62"/>
  <c r="AG36" i="62"/>
  <c r="AG35" i="62"/>
  <c r="AG33" i="62"/>
  <c r="AG32" i="62"/>
  <c r="AG31" i="62"/>
  <c r="AG30" i="62"/>
  <c r="AG29" i="62"/>
  <c r="AG28" i="62"/>
  <c r="AG27" i="62"/>
  <c r="AG26" i="62"/>
  <c r="AG25" i="62"/>
  <c r="AG24" i="62"/>
  <c r="AG22" i="62"/>
  <c r="AG21" i="62"/>
  <c r="AG19" i="62"/>
  <c r="AG18" i="62"/>
  <c r="AG17" i="62"/>
  <c r="AH63" i="62"/>
  <c r="AH65" i="62"/>
  <c r="O30" i="63"/>
  <c r="AH67" i="62"/>
  <c r="AH68" i="62"/>
  <c r="R42" i="47"/>
  <c r="R40" i="47"/>
  <c r="R39" i="47"/>
  <c r="R38" i="47"/>
  <c r="R37" i="47"/>
  <c r="R36" i="47"/>
  <c r="R35" i="47"/>
  <c r="R34" i="47"/>
  <c r="R33" i="47"/>
  <c r="R31" i="47"/>
  <c r="R30" i="47"/>
  <c r="R29" i="47"/>
  <c r="R28" i="47"/>
  <c r="R27" i="47"/>
  <c r="R26" i="47"/>
  <c r="R25" i="47"/>
  <c r="R24" i="47"/>
  <c r="R23" i="47"/>
  <c r="R22" i="47"/>
  <c r="R21" i="47"/>
  <c r="R20" i="47"/>
  <c r="R19" i="47"/>
  <c r="R18" i="47"/>
  <c r="R17" i="47"/>
  <c r="R16" i="47"/>
  <c r="R15" i="47"/>
  <c r="S62" i="47"/>
  <c r="S66" i="47"/>
  <c r="S61" i="47"/>
  <c r="S13" i="47"/>
  <c r="K13" i="47" s="1"/>
  <c r="R13" i="47"/>
  <c r="J13" i="47" s="1"/>
  <c r="AH18" i="55"/>
  <c r="AH19" i="55"/>
  <c r="AH20" i="55"/>
  <c r="AH21" i="55"/>
  <c r="AH22" i="55"/>
  <c r="AH23" i="55"/>
  <c r="AH40" i="55" s="1"/>
  <c r="AH26" i="55"/>
  <c r="AH32" i="55" s="1"/>
  <c r="AH27" i="55"/>
  <c r="AH33" i="55" s="1"/>
  <c r="AH28" i="55"/>
  <c r="AH31" i="55" s="1"/>
  <c r="AH30" i="55"/>
  <c r="AH35" i="55"/>
  <c r="AH37" i="55"/>
  <c r="AH38" i="55"/>
  <c r="AH39" i="55"/>
  <c r="AH41" i="55"/>
  <c r="AH42" i="55"/>
  <c r="AH17" i="55"/>
  <c r="AH63" i="55" s="1"/>
  <c r="AJ44" i="50"/>
  <c r="AJ43" i="50"/>
  <c r="AJ42" i="50"/>
  <c r="AJ41" i="50"/>
  <c r="AJ40" i="50"/>
  <c r="AJ39" i="50"/>
  <c r="AJ38" i="50"/>
  <c r="AJ37" i="50"/>
  <c r="AJ36" i="50"/>
  <c r="AJ35" i="50"/>
  <c r="AJ33" i="50"/>
  <c r="AJ32" i="50"/>
  <c r="AJ31" i="50"/>
  <c r="AJ30" i="50"/>
  <c r="AJ29" i="50"/>
  <c r="AJ28" i="50"/>
  <c r="AJ27" i="50"/>
  <c r="AJ26" i="50"/>
  <c r="AJ24" i="50"/>
  <c r="AJ23" i="50"/>
  <c r="AJ22" i="50"/>
  <c r="AJ21" i="50"/>
  <c r="AJ20" i="50"/>
  <c r="AJ19" i="50"/>
  <c r="AJ18" i="50"/>
  <c r="AJ17" i="50"/>
  <c r="AK25" i="50"/>
  <c r="AJ25" i="50" s="1"/>
  <c r="AK69" i="50"/>
  <c r="AK68" i="50"/>
  <c r="AK67" i="50"/>
  <c r="AK64" i="50"/>
  <c r="AK63" i="50"/>
  <c r="AH55" i="2"/>
  <c r="AH54" i="2"/>
  <c r="AH52" i="2"/>
  <c r="AH51" i="2"/>
  <c r="AG55" i="2"/>
  <c r="AG54" i="2"/>
  <c r="AK64" i="5"/>
  <c r="AK70" i="10"/>
  <c r="AJ69" i="10"/>
  <c r="AJ69" i="11"/>
  <c r="AJ68" i="11"/>
  <c r="AJ69" i="33"/>
  <c r="AK69" i="37"/>
  <c r="AK68" i="37"/>
  <c r="S67" i="47"/>
  <c r="R67" i="47"/>
  <c r="R66" i="47"/>
  <c r="AH69" i="62"/>
  <c r="AG69" i="62"/>
  <c r="AG68" i="62"/>
  <c r="I79" i="4"/>
  <c r="AJ69" i="50"/>
  <c r="AJ68" i="50"/>
  <c r="AK15" i="50"/>
  <c r="AC15" i="50" s="1"/>
  <c r="U15" i="50" s="1"/>
  <c r="M15" i="50" s="1"/>
  <c r="AJ15" i="50"/>
  <c r="AB15" i="50" s="1"/>
  <c r="T15" i="50" s="1"/>
  <c r="L15" i="50" s="1"/>
  <c r="AI54" i="1"/>
  <c r="AI53" i="1"/>
  <c r="Y31" i="63"/>
  <c r="Y30" i="63"/>
  <c r="W32" i="63"/>
  <c r="W31" i="63"/>
  <c r="W30" i="63"/>
  <c r="U32" i="63"/>
  <c r="U31" i="63"/>
  <c r="U30" i="63"/>
  <c r="Q32" i="63"/>
  <c r="Q31" i="63"/>
  <c r="Q30" i="63"/>
  <c r="O32" i="63"/>
  <c r="O31" i="63"/>
  <c r="K31" i="63"/>
  <c r="K30" i="63"/>
  <c r="G32" i="63"/>
  <c r="G31" i="63"/>
  <c r="G30" i="63"/>
  <c r="E32" i="63"/>
  <c r="E31" i="63"/>
  <c r="E30" i="63"/>
  <c r="AA17" i="63"/>
  <c r="AJ44" i="11"/>
  <c r="AJ43" i="11"/>
  <c r="AJ42" i="11"/>
  <c r="AJ41" i="11"/>
  <c r="AJ40" i="11"/>
  <c r="AJ39" i="11"/>
  <c r="AJ38" i="11"/>
  <c r="AJ37" i="11"/>
  <c r="AJ36" i="11"/>
  <c r="AJ35" i="11"/>
  <c r="AJ33" i="11"/>
  <c r="AJ32" i="11"/>
  <c r="AJ31" i="11"/>
  <c r="AJ30" i="11"/>
  <c r="AJ29" i="11"/>
  <c r="AJ28" i="11"/>
  <c r="AJ27" i="11"/>
  <c r="AJ26" i="11"/>
  <c r="AJ25" i="11"/>
  <c r="AJ24" i="11"/>
  <c r="AJ23" i="11"/>
  <c r="AJ22" i="11"/>
  <c r="AJ21" i="11"/>
  <c r="AJ20" i="11"/>
  <c r="AJ19" i="11"/>
  <c r="AJ18" i="11"/>
  <c r="AJ17" i="11"/>
  <c r="AK65" i="11"/>
  <c r="AK69" i="11"/>
  <c r="AK68" i="11"/>
  <c r="AK67" i="11"/>
  <c r="AK64" i="11"/>
  <c r="AK63" i="11"/>
  <c r="AK15" i="11"/>
  <c r="AC15" i="11" s="1"/>
  <c r="AJ15" i="11"/>
  <c r="AB15" i="11" s="1"/>
  <c r="AK15" i="5"/>
  <c r="AC15" i="5" s="1"/>
  <c r="U15" i="5" s="1"/>
  <c r="M15" i="5" s="1"/>
  <c r="AJ15" i="5"/>
  <c r="AB15" i="5" s="1"/>
  <c r="T15" i="5" s="1"/>
  <c r="L15" i="5" s="1"/>
  <c r="AJ47" i="1"/>
  <c r="AJ42" i="1"/>
  <c r="AJ32" i="1"/>
  <c r="AJ31" i="1"/>
  <c r="AJ36" i="1"/>
  <c r="AJ35" i="1"/>
  <c r="AI63" i="33"/>
  <c r="AI29" i="1" l="1"/>
  <c r="AI52" i="1" s="1"/>
  <c r="AG27" i="2"/>
  <c r="AG31" i="2" s="1"/>
  <c r="AG35" i="2" s="1"/>
  <c r="AH24" i="55"/>
  <c r="AH64" i="55" s="1"/>
  <c r="AK66" i="33"/>
  <c r="AJ26" i="10"/>
  <c r="AJ66" i="10" s="1"/>
  <c r="AH29" i="55"/>
  <c r="AH65" i="55" s="1"/>
  <c r="AH64" i="62"/>
  <c r="AG20" i="62"/>
  <c r="AG64" i="62" s="1"/>
  <c r="AJ21" i="37"/>
  <c r="AK67" i="37"/>
  <c r="AJ20" i="33"/>
  <c r="AI64" i="33"/>
  <c r="AJ34" i="50"/>
  <c r="AJ66" i="50" s="1"/>
  <c r="AK67" i="10"/>
  <c r="R41" i="47"/>
  <c r="R65" i="47" s="1"/>
  <c r="AJ64" i="11"/>
  <c r="Z64" i="7"/>
  <c r="W52" i="2"/>
  <c r="W51" i="2"/>
  <c r="Y52" i="2"/>
  <c r="U51" i="2"/>
  <c r="T55" i="2"/>
  <c r="Y67" i="62"/>
  <c r="Y64" i="62"/>
  <c r="Y65" i="62"/>
  <c r="W67" i="62"/>
  <c r="Y66" i="62"/>
  <c r="X67" i="62"/>
  <c r="AG65" i="62"/>
  <c r="Z66" i="55"/>
  <c r="X67" i="55"/>
  <c r="Z64" i="55"/>
  <c r="V66" i="55"/>
  <c r="Z63" i="55"/>
  <c r="Z65" i="55"/>
  <c r="X66" i="55"/>
  <c r="U63" i="55"/>
  <c r="Z67" i="55"/>
  <c r="V65" i="55"/>
  <c r="AB66" i="50"/>
  <c r="AB65" i="50"/>
  <c r="AC66" i="50"/>
  <c r="AK65" i="50"/>
  <c r="AJ67" i="50"/>
  <c r="F64" i="47"/>
  <c r="K64" i="47"/>
  <c r="H64" i="47"/>
  <c r="R62" i="47"/>
  <c r="R32" i="47"/>
  <c r="R64" i="47" s="1"/>
  <c r="X67" i="37"/>
  <c r="Z67" i="37"/>
  <c r="AB67" i="37"/>
  <c r="AC67" i="37"/>
  <c r="AB66" i="33"/>
  <c r="X66" i="33"/>
  <c r="AB65" i="33"/>
  <c r="X67" i="33"/>
  <c r="X64" i="33"/>
  <c r="AJ65" i="33"/>
  <c r="AB67" i="11"/>
  <c r="Z64" i="11"/>
  <c r="AJ67" i="11"/>
  <c r="AJ65" i="11"/>
  <c r="AJ63" i="11"/>
  <c r="AJ66" i="11"/>
  <c r="AK66" i="11"/>
  <c r="AA66" i="7"/>
  <c r="Z27" i="7"/>
  <c r="Z66" i="7" s="1"/>
  <c r="Z65" i="7"/>
  <c r="R61" i="47"/>
  <c r="Z35" i="7"/>
  <c r="AH34" i="55"/>
  <c r="AH66" i="62"/>
  <c r="AG66" i="62"/>
  <c r="I75" i="4"/>
  <c r="I77" i="4"/>
  <c r="I78" i="4"/>
  <c r="AJ67" i="37"/>
  <c r="AJ64" i="37"/>
  <c r="AJ68" i="37"/>
  <c r="AJ66" i="33"/>
  <c r="AJ67" i="33"/>
  <c r="AK68" i="10"/>
  <c r="AJ68" i="10"/>
  <c r="AJ67" i="10"/>
  <c r="AJ65" i="10"/>
  <c r="Z68" i="7"/>
  <c r="Z33" i="7"/>
  <c r="AJ25" i="5"/>
  <c r="I76" i="4"/>
  <c r="R63" i="47"/>
  <c r="AJ63" i="33"/>
  <c r="AJ64" i="10"/>
  <c r="AK65" i="10"/>
  <c r="Y32" i="63"/>
  <c r="AK64" i="10"/>
  <c r="AJ41" i="1"/>
  <c r="AK65" i="5"/>
  <c r="AK63" i="5"/>
  <c r="AJ39" i="1"/>
  <c r="J79" i="4"/>
  <c r="J80" i="4"/>
  <c r="J75" i="4"/>
  <c r="I25" i="4"/>
  <c r="I74" i="4" s="1"/>
  <c r="J78" i="4"/>
  <c r="J77" i="4"/>
  <c r="AK69" i="33"/>
  <c r="AK64" i="33"/>
  <c r="AK63" i="33"/>
  <c r="AG63" i="62"/>
  <c r="AJ43" i="1"/>
  <c r="AJ44" i="1" s="1"/>
  <c r="AJ65" i="50"/>
  <c r="AJ64" i="50"/>
  <c r="AJ63" i="50"/>
  <c r="AJ48" i="1"/>
  <c r="AJ25" i="37" l="1"/>
  <c r="AJ66" i="37" s="1"/>
  <c r="AH36" i="55"/>
  <c r="AJ64" i="33"/>
  <c r="AJ51" i="1"/>
  <c r="X63" i="33"/>
  <c r="Z67" i="7"/>
  <c r="AJ50" i="1"/>
  <c r="AJ53" i="1"/>
  <c r="AJ54" i="1"/>
  <c r="AJ65" i="37" l="1"/>
  <c r="AH44" i="55"/>
  <c r="AH67" i="55" s="1"/>
  <c r="AH66" i="55"/>
  <c r="Y26" i="63"/>
  <c r="W26" i="63"/>
  <c r="U26" i="63"/>
  <c r="S26" i="63"/>
  <c r="Q26" i="63"/>
  <c r="O26" i="63"/>
  <c r="M26" i="63"/>
  <c r="K26" i="63"/>
  <c r="I26" i="63"/>
  <c r="G26" i="63"/>
  <c r="E26" i="63"/>
  <c r="C26" i="63"/>
  <c r="Z21" i="63"/>
  <c r="Y21" i="63"/>
  <c r="Y27" i="63" s="1"/>
  <c r="X21" i="63"/>
  <c r="W21" i="63"/>
  <c r="V21" i="63"/>
  <c r="U21" i="63"/>
  <c r="T21" i="63"/>
  <c r="R21" i="63"/>
  <c r="Q21" i="63"/>
  <c r="Q27" i="63" s="1"/>
  <c r="P21" i="63"/>
  <c r="O21" i="63"/>
  <c r="O27" i="63" s="1"/>
  <c r="M27" i="63"/>
  <c r="L21" i="63"/>
  <c r="K21" i="63"/>
  <c r="K32" i="63" s="1"/>
  <c r="J21" i="63"/>
  <c r="I21" i="63"/>
  <c r="H21" i="63"/>
  <c r="G21" i="63"/>
  <c r="F21" i="63"/>
  <c r="E21" i="63"/>
  <c r="C21" i="63"/>
  <c r="C27" i="63" s="1"/>
  <c r="AA20" i="63"/>
  <c r="AA19" i="63"/>
  <c r="AA18" i="63"/>
  <c r="AA16" i="63"/>
  <c r="AA15" i="63"/>
  <c r="AA14" i="63"/>
  <c r="AA13" i="63"/>
  <c r="AA12" i="63"/>
  <c r="AA11" i="63"/>
  <c r="AA10" i="63"/>
  <c r="AA9" i="63"/>
  <c r="AA7" i="63"/>
  <c r="AF48" i="2"/>
  <c r="AH39" i="1"/>
  <c r="AQ29" i="2"/>
  <c r="AQ20" i="2"/>
  <c r="AQ23" i="2"/>
  <c r="I27" i="63" l="1"/>
  <c r="K27" i="63"/>
  <c r="U27" i="63"/>
  <c r="E27" i="63"/>
  <c r="AA21" i="63"/>
  <c r="AA27" i="63" s="1"/>
  <c r="AA26" i="63"/>
  <c r="S27" i="63"/>
  <c r="W27" i="63"/>
  <c r="G27" i="63"/>
  <c r="AD21" i="1" l="1"/>
  <c r="AD24" i="2"/>
  <c r="AD52" i="1" l="1"/>
  <c r="AH46" i="1"/>
  <c r="AH41" i="1"/>
  <c r="AD46" i="1"/>
  <c r="AD43" i="1"/>
  <c r="AD39" i="1"/>
  <c r="AD41" i="1" l="1"/>
  <c r="AG13" i="1" l="1"/>
  <c r="AG15" i="1"/>
  <c r="AG21" i="1"/>
  <c r="AG27" i="1"/>
  <c r="AG12" i="1"/>
  <c r="AH47" i="1"/>
  <c r="AH48" i="1" s="1"/>
  <c r="AH42" i="1"/>
  <c r="AH32" i="1"/>
  <c r="AI32" i="1" s="1"/>
  <c r="AH31" i="1"/>
  <c r="AI31" i="1" s="1"/>
  <c r="AH36" i="1"/>
  <c r="AI36" i="1" s="1"/>
  <c r="AH35" i="1"/>
  <c r="AI35" i="1" s="1"/>
  <c r="AF43" i="2" l="1"/>
  <c r="AH43" i="1" s="1"/>
  <c r="AE30" i="2"/>
  <c r="AE33" i="2"/>
  <c r="AE29" i="2"/>
  <c r="AE34" i="2"/>
  <c r="AE26" i="2"/>
  <c r="AE24" i="2"/>
  <c r="AE20" i="2"/>
  <c r="AE19" i="2"/>
  <c r="AE18" i="2"/>
  <c r="AE17" i="2"/>
  <c r="AE15" i="2"/>
  <c r="AE14" i="2"/>
  <c r="AE13" i="2"/>
  <c r="AE12" i="2"/>
  <c r="AE11" i="2"/>
  <c r="AE10" i="2"/>
  <c r="AG54" i="1"/>
  <c r="AG53" i="1"/>
  <c r="R45" i="4"/>
  <c r="R43" i="4"/>
  <c r="AE27" i="2" l="1"/>
  <c r="AE31" i="2" s="1"/>
  <c r="AE35" i="2" s="1"/>
  <c r="AH44" i="1"/>
  <c r="AH54" i="1" s="1"/>
  <c r="AE53" i="2" l="1"/>
  <c r="AH53" i="1"/>
  <c r="E53" i="4" l="1"/>
  <c r="G26" i="4"/>
  <c r="H80" i="4"/>
  <c r="H79" i="4"/>
  <c r="H78" i="4"/>
  <c r="H77" i="4"/>
  <c r="H76" i="4"/>
  <c r="H75" i="4"/>
  <c r="G80" i="4"/>
  <c r="G79" i="4"/>
  <c r="G31" i="4"/>
  <c r="G54" i="4"/>
  <c r="G43" i="4"/>
  <c r="G38" i="4"/>
  <c r="G34" i="4"/>
  <c r="G28" i="4"/>
  <c r="G66" i="4"/>
  <c r="G55" i="4"/>
  <c r="G47" i="4"/>
  <c r="G45" i="4"/>
  <c r="G44" i="4"/>
  <c r="G42" i="4"/>
  <c r="G41" i="4"/>
  <c r="G40" i="4"/>
  <c r="G37" i="4"/>
  <c r="G36" i="4"/>
  <c r="G35" i="4"/>
  <c r="G33" i="4"/>
  <c r="G30" i="4"/>
  <c r="G29" i="4"/>
  <c r="G27" i="4"/>
  <c r="G25" i="4"/>
  <c r="AF41" i="55"/>
  <c r="AF39" i="55"/>
  <c r="AF42" i="55"/>
  <c r="AF55" i="55"/>
  <c r="AF38" i="55"/>
  <c r="AF35" i="55"/>
  <c r="AF34" i="55"/>
  <c r="AF28" i="55"/>
  <c r="AF31" i="55" s="1"/>
  <c r="AF27" i="55"/>
  <c r="AF33" i="55" s="1"/>
  <c r="AF26" i="55"/>
  <c r="AF32" i="55" s="1"/>
  <c r="AF21" i="55"/>
  <c r="AF20" i="55"/>
  <c r="AF18" i="55"/>
  <c r="AF17" i="55"/>
  <c r="AE55" i="62"/>
  <c r="AE44" i="62"/>
  <c r="AE43" i="62"/>
  <c r="AE42" i="62"/>
  <c r="AE41" i="62"/>
  <c r="AE39" i="62"/>
  <c r="AE38" i="62"/>
  <c r="AE37" i="62"/>
  <c r="AE36" i="62"/>
  <c r="AE35" i="62"/>
  <c r="AE34" i="62"/>
  <c r="AE33" i="62"/>
  <c r="AE32" i="62"/>
  <c r="AE31" i="62"/>
  <c r="AE30" i="62"/>
  <c r="AE29" i="62"/>
  <c r="AE28" i="62"/>
  <c r="AE27" i="62"/>
  <c r="AE26" i="62"/>
  <c r="AE25" i="62"/>
  <c r="AE22" i="62"/>
  <c r="AE21" i="62"/>
  <c r="AE20" i="62"/>
  <c r="AE19" i="62"/>
  <c r="AE18" i="62"/>
  <c r="AE17" i="62"/>
  <c r="AG40" i="62"/>
  <c r="AG67" i="62" s="1"/>
  <c r="AH25" i="50"/>
  <c r="AI69" i="50"/>
  <c r="AI68" i="50"/>
  <c r="AI67" i="50"/>
  <c r="AI64" i="50"/>
  <c r="AI63" i="50"/>
  <c r="AH69" i="50"/>
  <c r="AH68" i="50"/>
  <c r="AH44" i="50"/>
  <c r="AH43" i="50"/>
  <c r="AH38" i="50"/>
  <c r="AH36" i="50"/>
  <c r="AH35" i="50"/>
  <c r="AH33" i="50"/>
  <c r="AH32" i="50"/>
  <c r="AH31" i="50"/>
  <c r="AH28" i="50"/>
  <c r="AH27" i="50"/>
  <c r="AH26" i="50"/>
  <c r="AH24" i="50"/>
  <c r="AH22" i="50"/>
  <c r="AH21" i="50"/>
  <c r="AH20" i="50"/>
  <c r="AH19" i="50"/>
  <c r="AH18" i="50"/>
  <c r="AH17" i="50"/>
  <c r="P21" i="47"/>
  <c r="AF55" i="2"/>
  <c r="AF54" i="2"/>
  <c r="AF52" i="2"/>
  <c r="AF51" i="2"/>
  <c r="AE55" i="2"/>
  <c r="AE54" i="2"/>
  <c r="AE52" i="2"/>
  <c r="AE51" i="2"/>
  <c r="Q67" i="47"/>
  <c r="Q66" i="47"/>
  <c r="Q65" i="47"/>
  <c r="Q64" i="47"/>
  <c r="Q63" i="47"/>
  <c r="Q62" i="47"/>
  <c r="Q61" i="47"/>
  <c r="P67" i="47"/>
  <c r="P66" i="47"/>
  <c r="P42" i="47"/>
  <c r="P41" i="47"/>
  <c r="P36" i="47"/>
  <c r="P34" i="47"/>
  <c r="P33" i="47"/>
  <c r="P31" i="47"/>
  <c r="P30" i="47"/>
  <c r="P29" i="47"/>
  <c r="P27" i="47"/>
  <c r="P26" i="47"/>
  <c r="P25" i="47"/>
  <c r="P24" i="47"/>
  <c r="P23" i="47"/>
  <c r="P22" i="47"/>
  <c r="P20" i="47"/>
  <c r="P19" i="47"/>
  <c r="P18" i="47"/>
  <c r="P17" i="47"/>
  <c r="P16" i="47"/>
  <c r="P15" i="47"/>
  <c r="AG17" i="1"/>
  <c r="AE40" i="62" l="1"/>
  <c r="AE67" i="62" s="1"/>
  <c r="G78" i="4"/>
  <c r="G77" i="4"/>
  <c r="G76" i="4"/>
  <c r="G75" i="4"/>
  <c r="P63" i="47"/>
  <c r="P65" i="47"/>
  <c r="P62" i="47"/>
  <c r="AH63" i="50"/>
  <c r="AH67" i="50"/>
  <c r="AH64" i="50"/>
  <c r="G74" i="4"/>
  <c r="H74" i="4"/>
  <c r="AI65" i="50"/>
  <c r="AH29" i="50"/>
  <c r="AI66" i="50"/>
  <c r="P61" i="47"/>
  <c r="AH24" i="37"/>
  <c r="AI64" i="37"/>
  <c r="AH56" i="37"/>
  <c r="AH39" i="37"/>
  <c r="AH37" i="37"/>
  <c r="AH29" i="37"/>
  <c r="AH28" i="37"/>
  <c r="AH20" i="37"/>
  <c r="AH19" i="37"/>
  <c r="AI69" i="37"/>
  <c r="AI70" i="37"/>
  <c r="AH45" i="37"/>
  <c r="AH44" i="37"/>
  <c r="AH36" i="37"/>
  <c r="AH34" i="37"/>
  <c r="AH33" i="37"/>
  <c r="AH32" i="37"/>
  <c r="AI67" i="37"/>
  <c r="AH27" i="37"/>
  <c r="AH26" i="37"/>
  <c r="AH23" i="37"/>
  <c r="AH22" i="37"/>
  <c r="AH21" i="37"/>
  <c r="AH25" i="37" s="1"/>
  <c r="AH18" i="37"/>
  <c r="AH43" i="33"/>
  <c r="AH38" i="33"/>
  <c r="AH40" i="33"/>
  <c r="AI65" i="33"/>
  <c r="AH69" i="33"/>
  <c r="AH68" i="33"/>
  <c r="AH42" i="33"/>
  <c r="AH41" i="33"/>
  <c r="AH39" i="33"/>
  <c r="AH37" i="33"/>
  <c r="AH33" i="33"/>
  <c r="AH32" i="33"/>
  <c r="AH30" i="33"/>
  <c r="AH29" i="33"/>
  <c r="AH24" i="33"/>
  <c r="AH23" i="33"/>
  <c r="AH22" i="33"/>
  <c r="AH21" i="33"/>
  <c r="AH18" i="33"/>
  <c r="AH44" i="33"/>
  <c r="AH36" i="33"/>
  <c r="AH35" i="33"/>
  <c r="AH31" i="33"/>
  <c r="AI66" i="33"/>
  <c r="AH28" i="33"/>
  <c r="AH27" i="33"/>
  <c r="AH26" i="33"/>
  <c r="AH20" i="33"/>
  <c r="AH19" i="33"/>
  <c r="AH17" i="33"/>
  <c r="AI69" i="11"/>
  <c r="AI68" i="11"/>
  <c r="AI67" i="11"/>
  <c r="AI66" i="11"/>
  <c r="AI65" i="11"/>
  <c r="AI64" i="11"/>
  <c r="AI63" i="11"/>
  <c r="AH69" i="11"/>
  <c r="AH68" i="11"/>
  <c r="AH55" i="11"/>
  <c r="AH44" i="11"/>
  <c r="AH43" i="11"/>
  <c r="AH42" i="11"/>
  <c r="AH41" i="11"/>
  <c r="AH40" i="11"/>
  <c r="AH39" i="11"/>
  <c r="AH38" i="11"/>
  <c r="AH37" i="11"/>
  <c r="AH36" i="11"/>
  <c r="AH35" i="11"/>
  <c r="AH34" i="11"/>
  <c r="AH33" i="11"/>
  <c r="AH32" i="11"/>
  <c r="AH31" i="11"/>
  <c r="AH30" i="11"/>
  <c r="AH29" i="11"/>
  <c r="AH28" i="11"/>
  <c r="AH27" i="11"/>
  <c r="AH26" i="11"/>
  <c r="AH25" i="11"/>
  <c r="AH24" i="11"/>
  <c r="AH23" i="11"/>
  <c r="AH22" i="11"/>
  <c r="AH21" i="11"/>
  <c r="AH20" i="11"/>
  <c r="AH19" i="11"/>
  <c r="AH18" i="11"/>
  <c r="AH17" i="11"/>
  <c r="AI70" i="10"/>
  <c r="AI69" i="10"/>
  <c r="AI68" i="10"/>
  <c r="AI67" i="10"/>
  <c r="AI66" i="10"/>
  <c r="AI65" i="10"/>
  <c r="AI64" i="10"/>
  <c r="AH70" i="10"/>
  <c r="AH69" i="10"/>
  <c r="AH56" i="10"/>
  <c r="AH45" i="10"/>
  <c r="AH43" i="10"/>
  <c r="AH42" i="10"/>
  <c r="AH41" i="10"/>
  <c r="AH40" i="10"/>
  <c r="AH39" i="10"/>
  <c r="AH38" i="10"/>
  <c r="AH36" i="10"/>
  <c r="AH34" i="10"/>
  <c r="AH33" i="10"/>
  <c r="AH32" i="10"/>
  <c r="AH31" i="10"/>
  <c r="AH30" i="10"/>
  <c r="AH29" i="10"/>
  <c r="AH28" i="10"/>
  <c r="AH27" i="10"/>
  <c r="AH26" i="10"/>
  <c r="AH25" i="10"/>
  <c r="AH24" i="10"/>
  <c r="AH23" i="10"/>
  <c r="AH22" i="10"/>
  <c r="AH21" i="10"/>
  <c r="AH20" i="10"/>
  <c r="AH19" i="10"/>
  <c r="AH18" i="10"/>
  <c r="AH63" i="33" l="1"/>
  <c r="AH64" i="10"/>
  <c r="AH64" i="37"/>
  <c r="AH65" i="10"/>
  <c r="AH67" i="11"/>
  <c r="AH65" i="50"/>
  <c r="AI68" i="37"/>
  <c r="AI65" i="37"/>
  <c r="AH65" i="37"/>
  <c r="AH30" i="37"/>
  <c r="AI66" i="37"/>
  <c r="AH70" i="37"/>
  <c r="AH69" i="37"/>
  <c r="AH67" i="33"/>
  <c r="AI69" i="33"/>
  <c r="AI68" i="33"/>
  <c r="AH64" i="33"/>
  <c r="AH25" i="33"/>
  <c r="AH65" i="33" s="1"/>
  <c r="AI67" i="33"/>
  <c r="AH66" i="11"/>
  <c r="AH65" i="11"/>
  <c r="AH64" i="11"/>
  <c r="AH63" i="11"/>
  <c r="AH66" i="10"/>
  <c r="Y70" i="7"/>
  <c r="Y69" i="7"/>
  <c r="Y68" i="7"/>
  <c r="Y67" i="7"/>
  <c r="Y66" i="7"/>
  <c r="Y65" i="7"/>
  <c r="Y64" i="7"/>
  <c r="X70" i="7"/>
  <c r="X69" i="7"/>
  <c r="X45" i="7"/>
  <c r="X44" i="7"/>
  <c r="X43" i="7"/>
  <c r="X42" i="7"/>
  <c r="X41" i="7"/>
  <c r="X40" i="7"/>
  <c r="X39" i="7"/>
  <c r="X38" i="7"/>
  <c r="X36" i="7"/>
  <c r="X35" i="7"/>
  <c r="X34" i="7"/>
  <c r="X33" i="7"/>
  <c r="X32" i="7"/>
  <c r="X31" i="7"/>
  <c r="X30" i="7"/>
  <c r="X29" i="7"/>
  <c r="X28" i="7"/>
  <c r="X27" i="7"/>
  <c r="X26" i="7"/>
  <c r="X25" i="7"/>
  <c r="X24" i="7"/>
  <c r="X23" i="7"/>
  <c r="X22" i="7"/>
  <c r="X21" i="7"/>
  <c r="X20" i="7"/>
  <c r="X19" i="7"/>
  <c r="X18" i="7"/>
  <c r="AI69" i="5"/>
  <c r="AI68" i="5"/>
  <c r="AH68" i="5"/>
  <c r="AH38" i="5"/>
  <c r="AI34" i="5"/>
  <c r="AJ34" i="5" s="1"/>
  <c r="AH35" i="5"/>
  <c r="AH33" i="5"/>
  <c r="AH32" i="5"/>
  <c r="AH31" i="5"/>
  <c r="AH30" i="5"/>
  <c r="AH28" i="5"/>
  <c r="AH27" i="5"/>
  <c r="AH26" i="5"/>
  <c r="AH25" i="5"/>
  <c r="AH23" i="5"/>
  <c r="AH22" i="5"/>
  <c r="AH21" i="5"/>
  <c r="AH20" i="5"/>
  <c r="AH18" i="5"/>
  <c r="AH17" i="5"/>
  <c r="AI19" i="5"/>
  <c r="AI63" i="5" s="1"/>
  <c r="AF17" i="5"/>
  <c r="AI24" i="5" l="1"/>
  <c r="AJ24" i="5" s="1"/>
  <c r="AH50" i="1"/>
  <c r="AJ19" i="5"/>
  <c r="AH34" i="5"/>
  <c r="X64" i="7"/>
  <c r="AH66" i="37"/>
  <c r="X65" i="7"/>
  <c r="X66" i="7"/>
  <c r="AH69" i="5"/>
  <c r="AI64" i="5" l="1"/>
  <c r="AI29" i="5"/>
  <c r="AJ29" i="5" s="1"/>
  <c r="AJ65" i="5" s="1"/>
  <c r="AH51" i="1"/>
  <c r="AJ64" i="5"/>
  <c r="AJ63" i="5"/>
  <c r="AF69" i="62"/>
  <c r="AE69" i="62"/>
  <c r="AF68" i="62"/>
  <c r="AE68" i="62"/>
  <c r="AE66" i="62"/>
  <c r="AE65" i="62"/>
  <c r="AF65" i="62"/>
  <c r="AE63" i="62"/>
  <c r="AI36" i="5" l="1"/>
  <c r="AJ36" i="5" s="1"/>
  <c r="AJ66" i="5" s="1"/>
  <c r="AI65" i="5"/>
  <c r="AI51" i="1"/>
  <c r="AI50" i="1"/>
  <c r="AE64" i="62"/>
  <c r="AF66" i="62"/>
  <c r="AF67" i="62"/>
  <c r="AC48" i="2"/>
  <c r="AE46" i="1" s="1"/>
  <c r="AG26" i="1"/>
  <c r="AG66" i="11"/>
  <c r="AE39" i="1"/>
  <c r="AE43" i="1"/>
  <c r="AE47" i="1"/>
  <c r="AE42" i="1"/>
  <c r="AE41" i="1"/>
  <c r="AF36" i="1"/>
  <c r="AG36" i="1" s="1"/>
  <c r="AF35" i="1"/>
  <c r="AG35" i="1" s="1"/>
  <c r="AG31" i="1"/>
  <c r="AF32" i="1"/>
  <c r="AG16" i="1"/>
  <c r="AG18" i="1"/>
  <c r="E66" i="4"/>
  <c r="AD55" i="55"/>
  <c r="AG34" i="50"/>
  <c r="AH34" i="50" s="1"/>
  <c r="AH66" i="50" s="1"/>
  <c r="AE44" i="50"/>
  <c r="AF55" i="50"/>
  <c r="O32" i="47"/>
  <c r="P32" i="47" s="1"/>
  <c r="P64" i="47" s="1"/>
  <c r="M42" i="47"/>
  <c r="N53" i="47"/>
  <c r="AG35" i="37"/>
  <c r="AH35" i="37" s="1"/>
  <c r="AH67" i="37" s="1"/>
  <c r="AF56" i="37"/>
  <c r="AG34" i="33"/>
  <c r="AH34" i="33" s="1"/>
  <c r="AH66" i="33" s="1"/>
  <c r="AE44" i="33"/>
  <c r="AF55" i="33"/>
  <c r="AF55" i="11"/>
  <c r="V56" i="7"/>
  <c r="AG44" i="10"/>
  <c r="AH44" i="10" s="1"/>
  <c r="AF56" i="10"/>
  <c r="AG35" i="10"/>
  <c r="AH35" i="10" s="1"/>
  <c r="AG32" i="1" l="1"/>
  <c r="AF33" i="1"/>
  <c r="AI66" i="5"/>
  <c r="AH36" i="5"/>
  <c r="AI44" i="5"/>
  <c r="AJ44" i="5" s="1"/>
  <c r="AJ67" i="5" s="1"/>
  <c r="AF64" i="62"/>
  <c r="AF63" i="62"/>
  <c r="AE44" i="1"/>
  <c r="AE48" i="1"/>
  <c r="AI67" i="5" l="1"/>
  <c r="DM44" i="5"/>
  <c r="DL44" i="5"/>
  <c r="DK44" i="5"/>
  <c r="DJ44" i="5"/>
  <c r="DI44" i="5"/>
  <c r="DH44" i="5"/>
  <c r="DG44" i="5"/>
  <c r="DE44" i="5"/>
  <c r="DD44" i="5"/>
  <c r="DC44" i="5"/>
  <c r="DB44" i="5"/>
  <c r="DA44" i="5"/>
  <c r="CZ44" i="5"/>
  <c r="CY44" i="5"/>
  <c r="CW44" i="5"/>
  <c r="CV44" i="5"/>
  <c r="CU44" i="5"/>
  <c r="CT44" i="5"/>
  <c r="CS44" i="5"/>
  <c r="CR44" i="5"/>
  <c r="CQ44" i="5"/>
  <c r="CO44" i="5"/>
  <c r="CN44" i="5"/>
  <c r="CM44" i="5"/>
  <c r="CL44" i="5"/>
  <c r="CK44" i="5"/>
  <c r="CJ44" i="5"/>
  <c r="CI44" i="5"/>
  <c r="CG44" i="5"/>
  <c r="CF44" i="5"/>
  <c r="CE44" i="5"/>
  <c r="CD44" i="5"/>
  <c r="CC44" i="5"/>
  <c r="CB44" i="5"/>
  <c r="CA44" i="5"/>
  <c r="BY44" i="5"/>
  <c r="BX44" i="5"/>
  <c r="BW44" i="5"/>
  <c r="BV44" i="5"/>
  <c r="BU44" i="5"/>
  <c r="BT44" i="5"/>
  <c r="BS44" i="5"/>
  <c r="BQ44" i="5"/>
  <c r="BP44" i="5"/>
  <c r="BO44" i="5"/>
  <c r="BN44" i="5"/>
  <c r="BM44" i="5"/>
  <c r="BL44" i="5"/>
  <c r="BK44" i="5"/>
  <c r="BI44" i="5"/>
  <c r="BH44" i="5"/>
  <c r="BG44" i="5"/>
  <c r="BF44" i="5"/>
  <c r="BE44" i="5"/>
  <c r="BD44" i="5"/>
  <c r="BC44" i="5"/>
  <c r="BA44" i="5"/>
  <c r="AZ44" i="5"/>
  <c r="AY44" i="5"/>
  <c r="AX44" i="5"/>
  <c r="AW44" i="5"/>
  <c r="AV44" i="5"/>
  <c r="AU44" i="5"/>
  <c r="AQ44" i="5"/>
  <c r="AP44" i="5"/>
  <c r="AO44" i="5"/>
  <c r="AN44" i="5"/>
  <c r="AM44" i="5"/>
  <c r="AS44" i="5"/>
  <c r="AG44" i="5"/>
  <c r="AE44" i="5"/>
  <c r="AG19" i="5"/>
  <c r="AH19" i="5" l="1"/>
  <c r="AH44" i="5"/>
  <c r="AH67" i="5" s="1"/>
  <c r="AG24" i="5"/>
  <c r="AG19" i="1" l="1"/>
  <c r="AH24" i="5"/>
  <c r="AH64" i="5" s="1"/>
  <c r="AH63" i="5"/>
  <c r="AG29" i="5"/>
  <c r="AH29" i="5" s="1"/>
  <c r="AH66" i="5" s="1"/>
  <c r="AH65" i="5" l="1"/>
  <c r="AF55" i="5"/>
  <c r="AG37" i="10" l="1"/>
  <c r="AH37" i="10" s="1"/>
  <c r="AH68" i="10" l="1"/>
  <c r="AH67" i="10"/>
  <c r="W37" i="7"/>
  <c r="X37" i="7" s="1"/>
  <c r="X68" i="7" l="1"/>
  <c r="X67" i="7"/>
  <c r="F80" i="4" l="1"/>
  <c r="F79" i="4"/>
  <c r="F78" i="4"/>
  <c r="F77" i="4"/>
  <c r="F76" i="4"/>
  <c r="F75" i="4"/>
  <c r="F74" i="4"/>
  <c r="E80" i="4"/>
  <c r="E79" i="4"/>
  <c r="E55" i="4"/>
  <c r="E54" i="4"/>
  <c r="E52" i="4"/>
  <c r="E51" i="4"/>
  <c r="E50" i="4"/>
  <c r="E49" i="4"/>
  <c r="E48" i="4"/>
  <c r="E47" i="4"/>
  <c r="E46" i="4"/>
  <c r="E45" i="4"/>
  <c r="E44" i="4"/>
  <c r="E43" i="4"/>
  <c r="E42" i="4"/>
  <c r="E41" i="4"/>
  <c r="E40" i="4"/>
  <c r="E39" i="4"/>
  <c r="E38" i="4"/>
  <c r="E37" i="4"/>
  <c r="E36" i="4"/>
  <c r="E35" i="4"/>
  <c r="E34" i="4"/>
  <c r="E33" i="4"/>
  <c r="E32" i="4"/>
  <c r="E30" i="4"/>
  <c r="E29" i="4"/>
  <c r="E28" i="4"/>
  <c r="E26" i="4"/>
  <c r="E25" i="4"/>
  <c r="AD42" i="55"/>
  <c r="AD41" i="55"/>
  <c r="AD39" i="55"/>
  <c r="AD38" i="55"/>
  <c r="AD37" i="55"/>
  <c r="AD35" i="55"/>
  <c r="AD34" i="55"/>
  <c r="AD30" i="55"/>
  <c r="AD28" i="55"/>
  <c r="AD31" i="55" s="1"/>
  <c r="AD27" i="55"/>
  <c r="AD33" i="55" s="1"/>
  <c r="AD26" i="55"/>
  <c r="AD32" i="55" s="1"/>
  <c r="AD23" i="55"/>
  <c r="AD40" i="55" s="1"/>
  <c r="AD22" i="55"/>
  <c r="AD21" i="55"/>
  <c r="AD20" i="55"/>
  <c r="AD18" i="55"/>
  <c r="AD17" i="55"/>
  <c r="AG69" i="50"/>
  <c r="AG68" i="50"/>
  <c r="AG67" i="50"/>
  <c r="AG66" i="50"/>
  <c r="AG65" i="50"/>
  <c r="AG64" i="50"/>
  <c r="AG63" i="50"/>
  <c r="AF69" i="50"/>
  <c r="AF68" i="50"/>
  <c r="AF44" i="50"/>
  <c r="AF43" i="50"/>
  <c r="AF42" i="50"/>
  <c r="AF41" i="50"/>
  <c r="AF40" i="50"/>
  <c r="AF39" i="50"/>
  <c r="AF38" i="50"/>
  <c r="AF37" i="50"/>
  <c r="AF36" i="50"/>
  <c r="AF35" i="50"/>
  <c r="AF34" i="50"/>
  <c r="AF33" i="50"/>
  <c r="AF32" i="50"/>
  <c r="AF31" i="50"/>
  <c r="AF30" i="50"/>
  <c r="AF29" i="50"/>
  <c r="AF28" i="50"/>
  <c r="AF27" i="50"/>
  <c r="AF26" i="50"/>
  <c r="AF25" i="50"/>
  <c r="AF24" i="50"/>
  <c r="AF23" i="50"/>
  <c r="AF22" i="50"/>
  <c r="AF21" i="50"/>
  <c r="AF20" i="50"/>
  <c r="AF18" i="50"/>
  <c r="AF17" i="50"/>
  <c r="O67" i="47"/>
  <c r="O66" i="47"/>
  <c r="O65" i="47"/>
  <c r="O64" i="47"/>
  <c r="O63" i="47"/>
  <c r="O62" i="47"/>
  <c r="O61" i="47"/>
  <c r="N67" i="47"/>
  <c r="N66"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6" i="47"/>
  <c r="N15" i="47"/>
  <c r="AF70" i="37"/>
  <c r="AF69" i="37"/>
  <c r="AG70" i="37"/>
  <c r="AG69" i="37"/>
  <c r="AG67" i="37"/>
  <c r="AG66" i="37"/>
  <c r="AG65" i="37"/>
  <c r="AG64" i="37"/>
  <c r="AF45" i="37"/>
  <c r="AF44" i="37"/>
  <c r="AF43" i="37"/>
  <c r="AF42" i="37"/>
  <c r="AF41" i="37"/>
  <c r="AF39" i="37"/>
  <c r="AF38" i="37"/>
  <c r="AF37" i="37"/>
  <c r="AF36" i="37"/>
  <c r="AF35" i="37"/>
  <c r="AF34" i="37"/>
  <c r="AF33" i="37"/>
  <c r="AF32" i="37"/>
  <c r="AF31" i="37"/>
  <c r="AF30" i="37"/>
  <c r="AF29" i="37"/>
  <c r="AF28" i="37"/>
  <c r="AF27" i="37"/>
  <c r="AF26" i="37"/>
  <c r="AF25" i="37"/>
  <c r="AF24" i="37"/>
  <c r="AF23" i="37"/>
  <c r="AF22" i="37"/>
  <c r="AF21" i="37"/>
  <c r="AF19" i="37"/>
  <c r="AF18" i="37"/>
  <c r="AF65" i="50" l="1"/>
  <c r="E77" i="4"/>
  <c r="E78" i="4"/>
  <c r="E76" i="4"/>
  <c r="AF66" i="50"/>
  <c r="AF67" i="50"/>
  <c r="N65" i="47"/>
  <c r="N64" i="47"/>
  <c r="N63" i="47"/>
  <c r="AF67" i="37"/>
  <c r="AF66" i="37"/>
  <c r="AG69" i="33"/>
  <c r="AG68" i="33"/>
  <c r="AG67" i="33"/>
  <c r="AG66" i="33"/>
  <c r="AG65" i="33"/>
  <c r="AG64" i="33"/>
  <c r="AG63" i="33"/>
  <c r="AF69" i="33"/>
  <c r="AF68" i="33"/>
  <c r="AF44" i="33"/>
  <c r="AF43" i="33"/>
  <c r="AF42" i="33"/>
  <c r="AF41" i="33"/>
  <c r="AF40" i="33"/>
  <c r="AF39" i="33"/>
  <c r="AF38" i="33"/>
  <c r="AF37" i="33"/>
  <c r="AF36" i="33"/>
  <c r="AF35" i="33"/>
  <c r="AF34" i="33"/>
  <c r="AF33" i="33"/>
  <c r="AF32" i="33"/>
  <c r="AF31" i="33"/>
  <c r="AF30" i="33"/>
  <c r="AF29" i="33"/>
  <c r="AF28" i="33"/>
  <c r="AF27" i="33"/>
  <c r="AF26" i="33"/>
  <c r="AF25" i="33"/>
  <c r="AF24" i="33"/>
  <c r="AF23" i="33"/>
  <c r="AF22" i="33"/>
  <c r="AF21" i="33"/>
  <c r="AF20" i="33"/>
  <c r="AF18" i="33"/>
  <c r="AF17" i="33"/>
  <c r="AG69" i="11"/>
  <c r="AG68" i="11"/>
  <c r="AG67" i="11"/>
  <c r="AG65" i="11"/>
  <c r="AG64" i="11"/>
  <c r="AG63" i="11"/>
  <c r="AF69" i="11"/>
  <c r="AF68" i="11"/>
  <c r="AF44" i="11"/>
  <c r="AF43" i="11"/>
  <c r="AF42" i="11"/>
  <c r="AF41" i="11"/>
  <c r="AF40" i="11"/>
  <c r="AF39" i="11"/>
  <c r="AF38" i="11"/>
  <c r="AF37" i="11"/>
  <c r="AF36" i="11"/>
  <c r="AF35" i="11"/>
  <c r="AF34" i="11"/>
  <c r="AF33" i="11"/>
  <c r="AF32" i="11"/>
  <c r="AF31" i="11"/>
  <c r="AF30" i="11"/>
  <c r="AF29" i="11"/>
  <c r="AF28" i="11"/>
  <c r="AF27" i="11"/>
  <c r="AF26" i="11"/>
  <c r="AF25" i="11"/>
  <c r="AF24" i="11"/>
  <c r="AF23" i="11"/>
  <c r="AF22" i="11"/>
  <c r="AF21" i="11"/>
  <c r="AF20" i="11"/>
  <c r="AF18" i="11"/>
  <c r="AF17" i="11"/>
  <c r="AG70" i="10"/>
  <c r="AG69" i="10"/>
  <c r="AG68" i="10"/>
  <c r="AG67" i="10"/>
  <c r="AG66" i="10"/>
  <c r="AG65" i="10"/>
  <c r="AG64" i="10"/>
  <c r="AF70" i="10"/>
  <c r="AF69" i="10"/>
  <c r="AF45" i="10"/>
  <c r="AF44" i="10"/>
  <c r="AF43" i="10"/>
  <c r="AF42" i="10"/>
  <c r="AF41" i="10"/>
  <c r="AF40" i="10"/>
  <c r="AF39" i="10"/>
  <c r="AF38" i="10"/>
  <c r="AF37" i="10"/>
  <c r="AF36" i="10"/>
  <c r="AF35" i="10"/>
  <c r="AF34" i="10"/>
  <c r="AF33" i="10"/>
  <c r="AF32" i="10"/>
  <c r="AF31" i="10"/>
  <c r="AF30" i="10"/>
  <c r="AF29" i="10"/>
  <c r="AF28" i="10"/>
  <c r="AF27" i="10"/>
  <c r="AF26" i="10"/>
  <c r="AF25" i="10"/>
  <c r="AF24" i="10"/>
  <c r="AF23" i="10"/>
  <c r="AF22" i="10"/>
  <c r="AF21" i="10"/>
  <c r="AF19" i="10"/>
  <c r="AF18" i="10"/>
  <c r="W70" i="7"/>
  <c r="W69" i="7"/>
  <c r="W68" i="7"/>
  <c r="W67" i="7"/>
  <c r="W66" i="7"/>
  <c r="W65" i="7"/>
  <c r="W64" i="7"/>
  <c r="V70" i="7"/>
  <c r="V69" i="7"/>
  <c r="V45" i="7"/>
  <c r="V44" i="7"/>
  <c r="V43" i="7"/>
  <c r="V42" i="7"/>
  <c r="V41" i="7"/>
  <c r="V40" i="7"/>
  <c r="V39" i="7"/>
  <c r="V38" i="7"/>
  <c r="V37" i="7"/>
  <c r="V36" i="7"/>
  <c r="V35" i="7"/>
  <c r="V34" i="7"/>
  <c r="V33" i="7"/>
  <c r="V32" i="7"/>
  <c r="V31" i="7"/>
  <c r="V30" i="7"/>
  <c r="V29" i="7"/>
  <c r="V28" i="7"/>
  <c r="V27" i="7"/>
  <c r="V26" i="7"/>
  <c r="V25" i="7"/>
  <c r="V24" i="7"/>
  <c r="V23" i="7"/>
  <c r="V22" i="7"/>
  <c r="V21" i="7"/>
  <c r="V19" i="7"/>
  <c r="V18" i="7"/>
  <c r="AG69" i="5"/>
  <c r="AF69" i="5"/>
  <c r="AG68" i="5"/>
  <c r="AF68" i="5"/>
  <c r="AG67" i="5"/>
  <c r="AG66" i="5"/>
  <c r="AG65" i="5"/>
  <c r="AG64" i="5"/>
  <c r="AG63" i="5"/>
  <c r="AF44" i="5"/>
  <c r="AF43" i="5"/>
  <c r="AF42" i="5"/>
  <c r="AF41" i="5"/>
  <c r="AF40" i="5"/>
  <c r="AF39" i="5"/>
  <c r="AF38" i="5"/>
  <c r="AF37" i="5"/>
  <c r="AF36" i="5"/>
  <c r="AF35" i="5"/>
  <c r="AF34" i="5"/>
  <c r="AF33" i="5"/>
  <c r="AF32" i="5"/>
  <c r="AF31" i="5"/>
  <c r="AF30" i="5"/>
  <c r="AF29" i="5"/>
  <c r="AF28" i="5"/>
  <c r="AF27" i="5"/>
  <c r="AF26" i="5"/>
  <c r="AF25" i="5"/>
  <c r="AF24" i="5"/>
  <c r="AF23" i="5"/>
  <c r="AF22" i="5"/>
  <c r="AF21" i="5"/>
  <c r="AF20" i="5"/>
  <c r="AF18" i="5"/>
  <c r="AC26" i="2"/>
  <c r="AC24" i="2"/>
  <c r="AC34" i="2"/>
  <c r="AC29" i="2"/>
  <c r="AC33" i="2"/>
  <c r="AC30" i="2"/>
  <c r="AC18" i="2"/>
  <c r="AC17" i="2"/>
  <c r="AC16" i="2"/>
  <c r="AC15" i="2"/>
  <c r="AC14" i="2"/>
  <c r="AC13" i="2"/>
  <c r="AC12" i="2"/>
  <c r="AC11" i="2"/>
  <c r="AC10" i="2"/>
  <c r="AD55" i="2"/>
  <c r="AD54" i="2"/>
  <c r="AD52" i="2"/>
  <c r="AD51" i="2"/>
  <c r="AC55" i="2"/>
  <c r="AC54" i="2"/>
  <c r="AF54" i="1"/>
  <c r="AF53" i="1"/>
  <c r="AE54" i="1"/>
  <c r="AE53" i="1"/>
  <c r="D78" i="4"/>
  <c r="AF66" i="33" l="1"/>
  <c r="AF67" i="33"/>
  <c r="AF65" i="33"/>
  <c r="AF66" i="11"/>
  <c r="AF67" i="11"/>
  <c r="AF65" i="11"/>
  <c r="AF68" i="10"/>
  <c r="V68" i="7"/>
  <c r="AC52" i="2"/>
  <c r="AC51" i="2"/>
  <c r="AF67" i="10"/>
  <c r="AF66" i="10"/>
  <c r="V67" i="7"/>
  <c r="V66" i="7"/>
  <c r="AF66" i="5"/>
  <c r="AF65" i="5"/>
  <c r="AF67" i="5"/>
  <c r="D27" i="4"/>
  <c r="E27" i="4" s="1"/>
  <c r="E75" i="4" l="1"/>
  <c r="E74" i="4"/>
  <c r="AD47" i="1"/>
  <c r="AB44" i="2"/>
  <c r="AD44" i="1" s="1"/>
  <c r="AD42" i="1"/>
  <c r="AD32" i="1"/>
  <c r="AE31" i="1"/>
  <c r="AE36" i="1"/>
  <c r="AD35" i="1"/>
  <c r="AE27" i="1"/>
  <c r="AC20" i="2"/>
  <c r="AC19" i="2"/>
  <c r="AD33" i="1" l="1"/>
  <c r="AD37" i="1" s="1"/>
  <c r="AE35" i="1"/>
  <c r="AC27" i="2"/>
  <c r="AC31" i="2" s="1"/>
  <c r="AC35" i="2" s="1"/>
  <c r="AE32" i="1"/>
  <c r="AD48" i="1"/>
  <c r="AD54" i="1" s="1"/>
  <c r="AE13" i="1"/>
  <c r="AC68" i="55"/>
  <c r="AC66" i="55"/>
  <c r="AC65" i="55"/>
  <c r="AE65" i="50"/>
  <c r="AE19" i="50"/>
  <c r="M66" i="47"/>
  <c r="M17" i="47"/>
  <c r="AE20" i="37"/>
  <c r="AE65" i="37" s="1"/>
  <c r="AE65" i="33"/>
  <c r="AE19" i="33"/>
  <c r="AE69" i="11"/>
  <c r="AE65" i="11"/>
  <c r="AE19" i="11"/>
  <c r="AE66" i="10"/>
  <c r="AE20" i="10"/>
  <c r="AF20" i="10" s="1"/>
  <c r="U66" i="7"/>
  <c r="U20" i="7"/>
  <c r="AE65" i="5"/>
  <c r="AE19" i="5"/>
  <c r="AE26" i="1"/>
  <c r="AE21" i="1"/>
  <c r="AE18" i="1"/>
  <c r="AE19" i="1"/>
  <c r="AE17" i="1"/>
  <c r="AE16" i="1"/>
  <c r="AE15" i="1"/>
  <c r="AE12" i="1"/>
  <c r="D80" i="4"/>
  <c r="D79" i="4"/>
  <c r="D77" i="4"/>
  <c r="D76" i="4"/>
  <c r="D75" i="4"/>
  <c r="D74" i="4"/>
  <c r="AE69" i="50"/>
  <c r="AE68" i="50"/>
  <c r="AE67" i="50"/>
  <c r="AE66" i="50"/>
  <c r="M67" i="47"/>
  <c r="M65" i="47"/>
  <c r="M64" i="47"/>
  <c r="M63" i="47"/>
  <c r="AE70" i="37"/>
  <c r="AE69" i="37"/>
  <c r="AE68" i="37"/>
  <c r="AE67" i="37"/>
  <c r="AE66" i="37"/>
  <c r="AE69" i="33"/>
  <c r="AE68" i="33"/>
  <c r="AE67" i="33"/>
  <c r="AE66" i="33"/>
  <c r="AE67" i="11"/>
  <c r="AE66" i="11"/>
  <c r="AE70" i="10"/>
  <c r="AE69" i="10"/>
  <c r="AE68" i="10"/>
  <c r="AE67" i="10"/>
  <c r="U70" i="7"/>
  <c r="U69" i="7"/>
  <c r="U68" i="7"/>
  <c r="U67" i="7"/>
  <c r="AE69" i="5"/>
  <c r="AE68" i="5"/>
  <c r="AE67" i="5"/>
  <c r="AE66" i="5"/>
  <c r="AB55" i="2"/>
  <c r="AB54" i="2"/>
  <c r="AB52" i="2"/>
  <c r="AB51" i="2"/>
  <c r="AD53" i="1"/>
  <c r="Q66" i="4"/>
  <c r="R77" i="4"/>
  <c r="AC53" i="2" l="1"/>
  <c r="N17" i="47"/>
  <c r="N62" i="47" s="1"/>
  <c r="AE65" i="10"/>
  <c r="AF65" i="10"/>
  <c r="AF64" i="10"/>
  <c r="AC64" i="55"/>
  <c r="AE64" i="50"/>
  <c r="AF19" i="50"/>
  <c r="M62" i="47"/>
  <c r="AE64" i="37"/>
  <c r="AF20" i="37"/>
  <c r="AE63" i="33"/>
  <c r="AF19" i="33"/>
  <c r="AE64" i="33"/>
  <c r="AE64" i="11"/>
  <c r="AF19" i="11"/>
  <c r="AE63" i="11"/>
  <c r="U65" i="7"/>
  <c r="V20" i="7"/>
  <c r="AE63" i="5"/>
  <c r="AF19" i="5"/>
  <c r="AE64" i="5"/>
  <c r="AE63" i="50"/>
  <c r="M61" i="47"/>
  <c r="AE68" i="11"/>
  <c r="AE64" i="10"/>
  <c r="U64" i="7"/>
  <c r="N61" i="47" l="1"/>
  <c r="AF65" i="37"/>
  <c r="AF64" i="37"/>
  <c r="AF63" i="33"/>
  <c r="AF64" i="33"/>
  <c r="AF64" i="11"/>
  <c r="AF63" i="11"/>
  <c r="V65" i="7"/>
  <c r="V64" i="7"/>
  <c r="AF64" i="50"/>
  <c r="AF63" i="50"/>
  <c r="AF64" i="5"/>
  <c r="AF63" i="5"/>
  <c r="AD51" i="1"/>
  <c r="AD50" i="1"/>
  <c r="AP44" i="2"/>
  <c r="R27" i="4" l="1"/>
  <c r="AH58" i="7" l="1"/>
  <c r="AF58" i="7"/>
  <c r="AD58" i="7"/>
  <c r="AR57" i="50"/>
  <c r="Z55" i="47"/>
  <c r="AR57" i="11"/>
  <c r="AP69" i="50" l="1"/>
  <c r="AR55" i="50"/>
  <c r="AS19" i="50"/>
  <c r="AS64" i="50" l="1"/>
  <c r="Z66" i="47"/>
  <c r="Z53" i="47"/>
  <c r="AA17" i="47"/>
  <c r="AS65" i="33" l="1"/>
  <c r="AR55" i="33"/>
  <c r="AS19" i="33"/>
  <c r="AR56" i="10" l="1"/>
  <c r="AS20" i="10" l="1"/>
  <c r="AI20" i="7" l="1"/>
  <c r="AS67" i="37" l="1"/>
  <c r="AR56" i="37"/>
  <c r="AS20" i="37"/>
  <c r="AS65" i="5"/>
  <c r="AR57" i="5"/>
  <c r="AR55" i="5"/>
  <c r="AS19" i="5"/>
  <c r="AS19" i="11" l="1"/>
  <c r="AU69" i="50" l="1"/>
  <c r="AU68" i="50"/>
  <c r="AU67" i="50"/>
  <c r="AU66" i="50"/>
  <c r="AU65" i="50"/>
  <c r="AU64" i="50"/>
  <c r="AU63" i="50"/>
  <c r="AS69" i="50"/>
  <c r="AS68" i="50"/>
  <c r="AS67" i="50"/>
  <c r="AS66" i="50"/>
  <c r="AS65" i="50"/>
  <c r="AS63" i="50"/>
  <c r="AR69" i="50"/>
  <c r="AR68" i="50"/>
  <c r="AQ69" i="50"/>
  <c r="AQ68" i="50"/>
  <c r="AQ67" i="50"/>
  <c r="AQ66" i="50"/>
  <c r="AQ65" i="50"/>
  <c r="AQ64" i="50"/>
  <c r="AQ63" i="50"/>
  <c r="AP68" i="50"/>
  <c r="AP67" i="50"/>
  <c r="AP66" i="50"/>
  <c r="AP65" i="50"/>
  <c r="AP64" i="50"/>
  <c r="AP63" i="50"/>
  <c r="AO69" i="50"/>
  <c r="AO68" i="50"/>
  <c r="AO67" i="50"/>
  <c r="AO66" i="50"/>
  <c r="AO65" i="50"/>
  <c r="AO64" i="50"/>
  <c r="AO63" i="50"/>
  <c r="AN69" i="50"/>
  <c r="AN68" i="50"/>
  <c r="AN67" i="50"/>
  <c r="AN66" i="50"/>
  <c r="AN65" i="50"/>
  <c r="AN64" i="50"/>
  <c r="AN63" i="50"/>
  <c r="AM69" i="50"/>
  <c r="AM68" i="50"/>
  <c r="AM67" i="50"/>
  <c r="AM66" i="50"/>
  <c r="AM65" i="50"/>
  <c r="AM64" i="50"/>
  <c r="AM63" i="50"/>
  <c r="AR43" i="50"/>
  <c r="AR42" i="50"/>
  <c r="AR41" i="50"/>
  <c r="AR40" i="50"/>
  <c r="AR39" i="50"/>
  <c r="AR38" i="50"/>
  <c r="AR37" i="50"/>
  <c r="AR36" i="50"/>
  <c r="AR35" i="50"/>
  <c r="AR34" i="50"/>
  <c r="AR33" i="50"/>
  <c r="AR32" i="50"/>
  <c r="AR31" i="50"/>
  <c r="AR29" i="50"/>
  <c r="AR28" i="50"/>
  <c r="AR27" i="50"/>
  <c r="AR26" i="50"/>
  <c r="AR25" i="50"/>
  <c r="AR24" i="50"/>
  <c r="AR23" i="50"/>
  <c r="AR22" i="50"/>
  <c r="AR21" i="50"/>
  <c r="AR20" i="50"/>
  <c r="AR19" i="50"/>
  <c r="AR18" i="50"/>
  <c r="AR17" i="50"/>
  <c r="AG67" i="47"/>
  <c r="AG66" i="47"/>
  <c r="AG65" i="47"/>
  <c r="AG64" i="47"/>
  <c r="AG63" i="47"/>
  <c r="AG62" i="47"/>
  <c r="AG61" i="47"/>
  <c r="AF67" i="47"/>
  <c r="AF66" i="47"/>
  <c r="AF65" i="47"/>
  <c r="AF64" i="47"/>
  <c r="AF63" i="47"/>
  <c r="AF62" i="47"/>
  <c r="AF61" i="47"/>
  <c r="AE67" i="47"/>
  <c r="AE66" i="47"/>
  <c r="AE65" i="47"/>
  <c r="AE64" i="47"/>
  <c r="AE63" i="47"/>
  <c r="AE62" i="47"/>
  <c r="AE61" i="47"/>
  <c r="AD67" i="47"/>
  <c r="AD66" i="47"/>
  <c r="AD65" i="47"/>
  <c r="AD64" i="47"/>
  <c r="AD63" i="47"/>
  <c r="AD62" i="47"/>
  <c r="AD61" i="47"/>
  <c r="AC67" i="47"/>
  <c r="AC66" i="47"/>
  <c r="AC65" i="47"/>
  <c r="AC64" i="47"/>
  <c r="AC63" i="47"/>
  <c r="AC62" i="47"/>
  <c r="AC61" i="47"/>
  <c r="AA67" i="47"/>
  <c r="AA66" i="47"/>
  <c r="AA65" i="47"/>
  <c r="AA64" i="47"/>
  <c r="AA63" i="47"/>
  <c r="AA62" i="47"/>
  <c r="AA61" i="47"/>
  <c r="Z67" i="47"/>
  <c r="Y67" i="47"/>
  <c r="Y66" i="47"/>
  <c r="Y65" i="47"/>
  <c r="Y64" i="47"/>
  <c r="Y63" i="47"/>
  <c r="Y62" i="47"/>
  <c r="Y61" i="47"/>
  <c r="X67" i="47"/>
  <c r="X66" i="47"/>
  <c r="X65" i="47"/>
  <c r="X64" i="47"/>
  <c r="X63" i="47"/>
  <c r="X62" i="47"/>
  <c r="X61" i="47"/>
  <c r="W67" i="47"/>
  <c r="W66" i="47"/>
  <c r="W65" i="47"/>
  <c r="W64" i="47"/>
  <c r="W63" i="47"/>
  <c r="W62" i="47"/>
  <c r="W61" i="47"/>
  <c r="V67" i="47"/>
  <c r="V66" i="47"/>
  <c r="V65" i="47"/>
  <c r="V64" i="47"/>
  <c r="V63" i="47"/>
  <c r="V62" i="47"/>
  <c r="V61" i="47"/>
  <c r="U67" i="47"/>
  <c r="U66" i="47"/>
  <c r="U65" i="47"/>
  <c r="U64" i="47"/>
  <c r="U63" i="47"/>
  <c r="U62" i="47"/>
  <c r="U61" i="47"/>
  <c r="Z41" i="47"/>
  <c r="Z40" i="47"/>
  <c r="Z39" i="47"/>
  <c r="Z38" i="47"/>
  <c r="Z37" i="47"/>
  <c r="Z36" i="47"/>
  <c r="Z35" i="47"/>
  <c r="Z34" i="47"/>
  <c r="Z33" i="47"/>
  <c r="Z32" i="47"/>
  <c r="Z31" i="47"/>
  <c r="Z30" i="47"/>
  <c r="Z29" i="47"/>
  <c r="Z27" i="47"/>
  <c r="Z26" i="47"/>
  <c r="Z25" i="47"/>
  <c r="Z24" i="47"/>
  <c r="Z23" i="47"/>
  <c r="Z22" i="47"/>
  <c r="Z21" i="47"/>
  <c r="Z20" i="47"/>
  <c r="Z19" i="47"/>
  <c r="Z18" i="47"/>
  <c r="Z17" i="47"/>
  <c r="Z16" i="47"/>
  <c r="Z15" i="47"/>
  <c r="AP70" i="37"/>
  <c r="AM70" i="37"/>
  <c r="AM69" i="37"/>
  <c r="AM68" i="37"/>
  <c r="AM67" i="37"/>
  <c r="AM66" i="37"/>
  <c r="AM65" i="37"/>
  <c r="BQ70" i="37"/>
  <c r="BP70" i="37"/>
  <c r="BO70" i="37"/>
  <c r="BN70" i="37"/>
  <c r="BM70" i="37"/>
  <c r="BL70" i="37"/>
  <c r="BK70" i="37"/>
  <c r="BI70" i="37"/>
  <c r="BH70" i="37"/>
  <c r="BG70" i="37"/>
  <c r="BF70" i="37"/>
  <c r="BE70" i="37"/>
  <c r="BD70" i="37"/>
  <c r="BC70" i="37"/>
  <c r="BA70" i="37"/>
  <c r="AZ70" i="37"/>
  <c r="AY70" i="37"/>
  <c r="AX70" i="37"/>
  <c r="AW70" i="37"/>
  <c r="AV70" i="37"/>
  <c r="AU70" i="37"/>
  <c r="AS70" i="37"/>
  <c r="AR70" i="37"/>
  <c r="AQ70" i="37"/>
  <c r="AO70" i="37"/>
  <c r="AN70" i="37"/>
  <c r="BQ69" i="37"/>
  <c r="BP69" i="37"/>
  <c r="BO69" i="37"/>
  <c r="BN69" i="37"/>
  <c r="BM69" i="37"/>
  <c r="BL69" i="37"/>
  <c r="BK69" i="37"/>
  <c r="BI69" i="37"/>
  <c r="BH69" i="37"/>
  <c r="BG69" i="37"/>
  <c r="BF69" i="37"/>
  <c r="BE69" i="37"/>
  <c r="BD69" i="37"/>
  <c r="BC69" i="37"/>
  <c r="BA69" i="37"/>
  <c r="AZ69" i="37"/>
  <c r="AY69" i="37"/>
  <c r="AX69" i="37"/>
  <c r="AW69" i="37"/>
  <c r="AV69" i="37"/>
  <c r="AU69" i="37"/>
  <c r="AS69" i="37"/>
  <c r="AR69" i="37"/>
  <c r="AQ69" i="37"/>
  <c r="AP69" i="37"/>
  <c r="AO69" i="37"/>
  <c r="AN69" i="37"/>
  <c r="BQ68" i="37"/>
  <c r="BP68" i="37"/>
  <c r="BO68" i="37"/>
  <c r="BN68" i="37"/>
  <c r="BM68" i="37"/>
  <c r="BL68" i="37"/>
  <c r="BK68" i="37"/>
  <c r="BI68" i="37"/>
  <c r="BH68" i="37"/>
  <c r="BG68" i="37"/>
  <c r="BF68" i="37"/>
  <c r="BE68" i="37"/>
  <c r="BD68" i="37"/>
  <c r="BC68" i="37"/>
  <c r="BA68" i="37"/>
  <c r="AZ68" i="37"/>
  <c r="AY68" i="37"/>
  <c r="AX68" i="37"/>
  <c r="AW68" i="37"/>
  <c r="AV68" i="37"/>
  <c r="AU68" i="37"/>
  <c r="AS68" i="37"/>
  <c r="AQ68" i="37"/>
  <c r="AP68" i="37"/>
  <c r="AO68" i="37"/>
  <c r="AN68" i="37"/>
  <c r="BQ67" i="37"/>
  <c r="BP67" i="37"/>
  <c r="BO67" i="37"/>
  <c r="BN67" i="37"/>
  <c r="BM67" i="37"/>
  <c r="BL67" i="37"/>
  <c r="BK67" i="37"/>
  <c r="BI67" i="37"/>
  <c r="BH67" i="37"/>
  <c r="BG67" i="37"/>
  <c r="BF67" i="37"/>
  <c r="BE67" i="37"/>
  <c r="BD67" i="37"/>
  <c r="BC67" i="37"/>
  <c r="BA67" i="37"/>
  <c r="AZ67" i="37"/>
  <c r="AY67" i="37"/>
  <c r="AX67" i="37"/>
  <c r="AW67" i="37"/>
  <c r="AV67" i="37"/>
  <c r="AU67" i="37"/>
  <c r="AQ67" i="37"/>
  <c r="AP67" i="37"/>
  <c r="AO67" i="37"/>
  <c r="AN67" i="37"/>
  <c r="BQ66" i="37"/>
  <c r="BP66" i="37"/>
  <c r="BO66" i="37"/>
  <c r="BN66" i="37"/>
  <c r="BM66" i="37"/>
  <c r="BL66" i="37"/>
  <c r="BK66" i="37"/>
  <c r="BI66" i="37"/>
  <c r="BH66" i="37"/>
  <c r="BG66" i="37"/>
  <c r="BF66" i="37"/>
  <c r="BE66" i="37"/>
  <c r="BD66" i="37"/>
  <c r="BC66" i="37"/>
  <c r="BA66" i="37"/>
  <c r="AZ66" i="37"/>
  <c r="AY66" i="37"/>
  <c r="AX66" i="37"/>
  <c r="AW66" i="37"/>
  <c r="AV66" i="37"/>
  <c r="AU66" i="37"/>
  <c r="AS66" i="37"/>
  <c r="AQ66" i="37"/>
  <c r="AP66" i="37"/>
  <c r="AO66" i="37"/>
  <c r="AN66" i="37"/>
  <c r="BQ65" i="37"/>
  <c r="BP65" i="37"/>
  <c r="BO65" i="37"/>
  <c r="BN65" i="37"/>
  <c r="BM65" i="37"/>
  <c r="BL65" i="37"/>
  <c r="BK65" i="37"/>
  <c r="BI65" i="37"/>
  <c r="BH65" i="37"/>
  <c r="BG65" i="37"/>
  <c r="BF65" i="37"/>
  <c r="BE65" i="37"/>
  <c r="BD65" i="37"/>
  <c r="BC65" i="37"/>
  <c r="BA65" i="37"/>
  <c r="AZ65" i="37"/>
  <c r="AY65" i="37"/>
  <c r="AX65" i="37"/>
  <c r="AW65" i="37"/>
  <c r="AV65" i="37"/>
  <c r="AU65" i="37"/>
  <c r="AS65" i="37"/>
  <c r="AQ65" i="37"/>
  <c r="AP65" i="37"/>
  <c r="AO65" i="37"/>
  <c r="AN65" i="37"/>
  <c r="BQ64" i="37"/>
  <c r="BP64" i="37"/>
  <c r="BO64" i="37"/>
  <c r="BN64" i="37"/>
  <c r="BM64" i="37"/>
  <c r="BL64" i="37"/>
  <c r="BK64" i="37"/>
  <c r="BI64" i="37"/>
  <c r="BH64" i="37"/>
  <c r="BG64" i="37"/>
  <c r="BF64" i="37"/>
  <c r="BE64" i="37"/>
  <c r="BD64" i="37"/>
  <c r="BC64" i="37"/>
  <c r="BA64" i="37"/>
  <c r="AZ64" i="37"/>
  <c r="AY64" i="37"/>
  <c r="AX64" i="37"/>
  <c r="AW64" i="37"/>
  <c r="AV64" i="37"/>
  <c r="AU64" i="37"/>
  <c r="AS64" i="37"/>
  <c r="AQ64" i="37"/>
  <c r="AP64" i="37"/>
  <c r="AO64" i="37"/>
  <c r="AN64" i="37"/>
  <c r="AM64" i="37"/>
  <c r="AR44" i="37"/>
  <c r="AR43" i="37"/>
  <c r="AR42" i="37"/>
  <c r="AR41" i="37"/>
  <c r="AR40" i="37"/>
  <c r="AR39" i="37"/>
  <c r="AR38" i="37"/>
  <c r="AR37" i="37"/>
  <c r="AR36" i="37"/>
  <c r="AR35" i="37"/>
  <c r="AR34" i="37"/>
  <c r="AR33" i="37"/>
  <c r="AR32" i="37"/>
  <c r="AR30" i="37"/>
  <c r="AR29" i="37"/>
  <c r="AR28" i="37"/>
  <c r="AR27" i="37"/>
  <c r="AR26" i="37"/>
  <c r="AR25" i="37"/>
  <c r="AR24" i="37"/>
  <c r="AR23" i="37"/>
  <c r="AR22" i="37"/>
  <c r="AR21" i="37"/>
  <c r="AR20" i="37"/>
  <c r="AR19" i="37"/>
  <c r="AR18" i="37"/>
  <c r="BW69" i="33"/>
  <c r="BV69" i="33"/>
  <c r="BU69" i="33"/>
  <c r="BT69" i="33"/>
  <c r="BS69" i="33"/>
  <c r="BW68" i="33"/>
  <c r="BV68" i="33"/>
  <c r="BU68" i="33"/>
  <c r="BT68" i="33"/>
  <c r="BS68" i="33"/>
  <c r="BW67" i="33"/>
  <c r="BV67" i="33"/>
  <c r="BU67" i="33"/>
  <c r="BT67" i="33"/>
  <c r="BS67" i="33"/>
  <c r="BW66" i="33"/>
  <c r="BV66" i="33"/>
  <c r="BU66" i="33"/>
  <c r="BT66" i="33"/>
  <c r="BS66" i="33"/>
  <c r="BW65" i="33"/>
  <c r="BV65" i="33"/>
  <c r="BU65" i="33"/>
  <c r="BT65" i="33"/>
  <c r="BS65" i="33"/>
  <c r="BW64" i="33"/>
  <c r="BV64" i="33"/>
  <c r="BU64" i="33"/>
  <c r="BT64" i="33"/>
  <c r="BS64" i="33"/>
  <c r="BW63" i="33"/>
  <c r="BV63" i="33"/>
  <c r="BU63" i="33"/>
  <c r="BT63" i="33"/>
  <c r="BS63" i="33"/>
  <c r="BQ69" i="33"/>
  <c r="BP69" i="33"/>
  <c r="BO69" i="33"/>
  <c r="BN69" i="33"/>
  <c r="BM69" i="33"/>
  <c r="BL69" i="33"/>
  <c r="BK69" i="33"/>
  <c r="BQ68" i="33"/>
  <c r="BP68" i="33"/>
  <c r="BO68" i="33"/>
  <c r="BN68" i="33"/>
  <c r="BM68" i="33"/>
  <c r="BL68" i="33"/>
  <c r="BK68" i="33"/>
  <c r="BQ67" i="33"/>
  <c r="BP67" i="33"/>
  <c r="BO67" i="33"/>
  <c r="BN67" i="33"/>
  <c r="BM67" i="33"/>
  <c r="BL67" i="33"/>
  <c r="BK67" i="33"/>
  <c r="BQ66" i="33"/>
  <c r="BP66" i="33"/>
  <c r="BO66" i="33"/>
  <c r="BN66" i="33"/>
  <c r="BM66" i="33"/>
  <c r="BL66" i="33"/>
  <c r="BK66" i="33"/>
  <c r="BQ65" i="33"/>
  <c r="BP65" i="33"/>
  <c r="BO65" i="33"/>
  <c r="BN65" i="33"/>
  <c r="BM65" i="33"/>
  <c r="BL65" i="33"/>
  <c r="BK65" i="33"/>
  <c r="BQ64" i="33"/>
  <c r="BP64" i="33"/>
  <c r="BO64" i="33"/>
  <c r="BN64" i="33"/>
  <c r="BM64" i="33"/>
  <c r="BL64" i="33"/>
  <c r="BK64" i="33"/>
  <c r="BQ63" i="33"/>
  <c r="BP63" i="33"/>
  <c r="BO63" i="33"/>
  <c r="BN63" i="33"/>
  <c r="BM63" i="33"/>
  <c r="BL63" i="33"/>
  <c r="BK63" i="33"/>
  <c r="BI69" i="33"/>
  <c r="BH69" i="33"/>
  <c r="BG69" i="33"/>
  <c r="BF69" i="33"/>
  <c r="BE69" i="33"/>
  <c r="BD69" i="33"/>
  <c r="BC69" i="33"/>
  <c r="BI68" i="33"/>
  <c r="BH68" i="33"/>
  <c r="BG68" i="33"/>
  <c r="BF68" i="33"/>
  <c r="BE68" i="33"/>
  <c r="BD68" i="33"/>
  <c r="BC68" i="33"/>
  <c r="BI67" i="33"/>
  <c r="BH67" i="33"/>
  <c r="BG67" i="33"/>
  <c r="BF67" i="33"/>
  <c r="BE67" i="33"/>
  <c r="BD67" i="33"/>
  <c r="BC67" i="33"/>
  <c r="BI66" i="33"/>
  <c r="BH66" i="33"/>
  <c r="BG66" i="33"/>
  <c r="BF66" i="33"/>
  <c r="BE66" i="33"/>
  <c r="BD66" i="33"/>
  <c r="BC66" i="33"/>
  <c r="BI65" i="33"/>
  <c r="BH65" i="33"/>
  <c r="BG65" i="33"/>
  <c r="BF65" i="33"/>
  <c r="BE65" i="33"/>
  <c r="BD65" i="33"/>
  <c r="BC65" i="33"/>
  <c r="BI64" i="33"/>
  <c r="BH64" i="33"/>
  <c r="BG64" i="33"/>
  <c r="BF64" i="33"/>
  <c r="BE64" i="33"/>
  <c r="BD64" i="33"/>
  <c r="BC64" i="33"/>
  <c r="BI63" i="33"/>
  <c r="BH63" i="33"/>
  <c r="BG63" i="33"/>
  <c r="BF63" i="33"/>
  <c r="BE63" i="33"/>
  <c r="BD63" i="33"/>
  <c r="BC63" i="33"/>
  <c r="BA69" i="33"/>
  <c r="AZ69" i="33"/>
  <c r="AY69" i="33"/>
  <c r="AX69" i="33"/>
  <c r="AW69" i="33"/>
  <c r="AV69" i="33"/>
  <c r="AU69" i="33"/>
  <c r="BA68" i="33"/>
  <c r="AZ68" i="33"/>
  <c r="AY68" i="33"/>
  <c r="AX68" i="33"/>
  <c r="AW68" i="33"/>
  <c r="AV68" i="33"/>
  <c r="AU68" i="33"/>
  <c r="BA67" i="33"/>
  <c r="AZ67" i="33"/>
  <c r="AY67" i="33"/>
  <c r="AX67" i="33"/>
  <c r="AW67" i="33"/>
  <c r="AV67" i="33"/>
  <c r="AU67" i="33"/>
  <c r="BA66" i="33"/>
  <c r="AZ66" i="33"/>
  <c r="AY66" i="33"/>
  <c r="AX66" i="33"/>
  <c r="AW66" i="33"/>
  <c r="AV66" i="33"/>
  <c r="AU66" i="33"/>
  <c r="BA65" i="33"/>
  <c r="AZ65" i="33"/>
  <c r="AY65" i="33"/>
  <c r="AX65" i="33"/>
  <c r="AW65" i="33"/>
  <c r="AV65" i="33"/>
  <c r="AU65" i="33"/>
  <c r="BA64" i="33"/>
  <c r="AZ64" i="33"/>
  <c r="AY64" i="33"/>
  <c r="AX64" i="33"/>
  <c r="AW64" i="33"/>
  <c r="AV64" i="33"/>
  <c r="AU64" i="33"/>
  <c r="BA63" i="33"/>
  <c r="AZ63" i="33"/>
  <c r="AY63" i="33"/>
  <c r="AX63" i="33"/>
  <c r="AW63" i="33"/>
  <c r="AV63" i="33"/>
  <c r="AU63" i="33"/>
  <c r="AS69" i="33"/>
  <c r="AR69" i="33"/>
  <c r="AQ69" i="33"/>
  <c r="AP69" i="33"/>
  <c r="AO69" i="33"/>
  <c r="AN69" i="33"/>
  <c r="AS68" i="33"/>
  <c r="AR68" i="33"/>
  <c r="AQ68" i="33"/>
  <c r="AP68" i="33"/>
  <c r="AO68" i="33"/>
  <c r="AN68" i="33"/>
  <c r="AS67" i="33"/>
  <c r="AQ67" i="33"/>
  <c r="AP67" i="33"/>
  <c r="AO67" i="33"/>
  <c r="AN67" i="33"/>
  <c r="AS66" i="33"/>
  <c r="AQ66" i="33"/>
  <c r="AP66" i="33"/>
  <c r="AO66" i="33"/>
  <c r="AN66" i="33"/>
  <c r="AQ65" i="33"/>
  <c r="AP65" i="33"/>
  <c r="AO65" i="33"/>
  <c r="AN65" i="33"/>
  <c r="AS64" i="33"/>
  <c r="AQ64" i="33"/>
  <c r="AP64" i="33"/>
  <c r="AO64" i="33"/>
  <c r="AN64" i="33"/>
  <c r="AS63" i="33"/>
  <c r="AQ63" i="33"/>
  <c r="AP63" i="33"/>
  <c r="AO63" i="33"/>
  <c r="AN63" i="33"/>
  <c r="AM69" i="33"/>
  <c r="AM68" i="33"/>
  <c r="AM67" i="33"/>
  <c r="AM66" i="33"/>
  <c r="AM65" i="33"/>
  <c r="AM64" i="33"/>
  <c r="AM63" i="33"/>
  <c r="AR43" i="33"/>
  <c r="AR42" i="33"/>
  <c r="AR41" i="33"/>
  <c r="AR40" i="33"/>
  <c r="AR39" i="33"/>
  <c r="AR38" i="33"/>
  <c r="AR37" i="33"/>
  <c r="AR36" i="33"/>
  <c r="AR35" i="33"/>
  <c r="AR34" i="33"/>
  <c r="AR33" i="33"/>
  <c r="AR32" i="33"/>
  <c r="AR31" i="33"/>
  <c r="AR29" i="33"/>
  <c r="AR28" i="33"/>
  <c r="AR27" i="33"/>
  <c r="AR26" i="33"/>
  <c r="AR25" i="33"/>
  <c r="AR24" i="33"/>
  <c r="AR23" i="33"/>
  <c r="AR22" i="33"/>
  <c r="AR21" i="33"/>
  <c r="AR20" i="33"/>
  <c r="AR19" i="33"/>
  <c r="AR18" i="33"/>
  <c r="AR17" i="33"/>
  <c r="CC69" i="11"/>
  <c r="CB69" i="11"/>
  <c r="CA69" i="11"/>
  <c r="BY69" i="11"/>
  <c r="BX69" i="11"/>
  <c r="BW69" i="11"/>
  <c r="BV69" i="11"/>
  <c r="BU69" i="11"/>
  <c r="BT69" i="11"/>
  <c r="BS69" i="11"/>
  <c r="BQ69" i="11"/>
  <c r="BP69" i="11"/>
  <c r="BO69" i="11"/>
  <c r="BN69" i="11"/>
  <c r="BM69" i="11"/>
  <c r="BL69" i="11"/>
  <c r="BK69" i="11"/>
  <c r="BI69" i="11"/>
  <c r="BH69" i="11"/>
  <c r="BG69" i="11"/>
  <c r="BF69" i="11"/>
  <c r="BE69" i="11"/>
  <c r="BD69" i="11"/>
  <c r="BC69" i="11"/>
  <c r="BA69" i="11"/>
  <c r="AZ69" i="11"/>
  <c r="AY69" i="11"/>
  <c r="AX69" i="11"/>
  <c r="AW69" i="11"/>
  <c r="AV69" i="11"/>
  <c r="AU69" i="11"/>
  <c r="AS69" i="11"/>
  <c r="AR69" i="11"/>
  <c r="AQ69" i="11"/>
  <c r="AP69" i="11"/>
  <c r="AO69" i="11"/>
  <c r="AN69" i="11"/>
  <c r="AM69" i="11"/>
  <c r="CC68" i="11"/>
  <c r="CB68" i="11"/>
  <c r="CA68" i="11"/>
  <c r="BY68" i="11"/>
  <c r="BX68" i="11"/>
  <c r="BW68" i="11"/>
  <c r="BV68" i="11"/>
  <c r="BU68" i="11"/>
  <c r="BT68" i="11"/>
  <c r="BS68" i="11"/>
  <c r="BQ68" i="11"/>
  <c r="BP68" i="11"/>
  <c r="BO68" i="11"/>
  <c r="BN68" i="11"/>
  <c r="BM68" i="11"/>
  <c r="BL68" i="11"/>
  <c r="BK68" i="11"/>
  <c r="BI68" i="11"/>
  <c r="BH68" i="11"/>
  <c r="BG68" i="11"/>
  <c r="BF68" i="11"/>
  <c r="BE68" i="11"/>
  <c r="BD68" i="11"/>
  <c r="BC68" i="11"/>
  <c r="BA68" i="11"/>
  <c r="AZ68" i="11"/>
  <c r="AY68" i="11"/>
  <c r="AX68" i="11"/>
  <c r="AW68" i="11"/>
  <c r="AV68" i="11"/>
  <c r="AU68" i="11"/>
  <c r="AS68" i="11"/>
  <c r="AR68" i="11"/>
  <c r="AQ68" i="11"/>
  <c r="AP68" i="11"/>
  <c r="AO68" i="11"/>
  <c r="AN68" i="11"/>
  <c r="AM68" i="11"/>
  <c r="CC67" i="11"/>
  <c r="CB67" i="11"/>
  <c r="CA67" i="11"/>
  <c r="BY67" i="11"/>
  <c r="BX67" i="11"/>
  <c r="BW67" i="11"/>
  <c r="BV67" i="11"/>
  <c r="BU67" i="11"/>
  <c r="BT67" i="11"/>
  <c r="BS67" i="11"/>
  <c r="BQ67" i="11"/>
  <c r="BP67" i="11"/>
  <c r="BO67" i="11"/>
  <c r="BN67" i="11"/>
  <c r="BM67" i="11"/>
  <c r="BL67" i="11"/>
  <c r="BK67" i="11"/>
  <c r="BI67" i="11"/>
  <c r="BH67" i="11"/>
  <c r="BG67" i="11"/>
  <c r="BF67" i="11"/>
  <c r="BE67" i="11"/>
  <c r="BD67" i="11"/>
  <c r="BC67" i="11"/>
  <c r="BA67" i="11"/>
  <c r="AZ67" i="11"/>
  <c r="AY67" i="11"/>
  <c r="AX67" i="11"/>
  <c r="AW67" i="11"/>
  <c r="AV67" i="11"/>
  <c r="AU67" i="11"/>
  <c r="AS67" i="11"/>
  <c r="AQ67" i="11"/>
  <c r="AP67" i="11"/>
  <c r="AO67" i="11"/>
  <c r="AN67" i="11"/>
  <c r="AM67" i="11"/>
  <c r="CC66" i="11"/>
  <c r="CB66" i="11"/>
  <c r="CA66" i="11"/>
  <c r="BY66" i="11"/>
  <c r="BX66" i="11"/>
  <c r="BW66" i="11"/>
  <c r="BV66" i="11"/>
  <c r="BU66" i="11"/>
  <c r="BT66" i="11"/>
  <c r="BS66" i="11"/>
  <c r="BQ66" i="11"/>
  <c r="BP66" i="11"/>
  <c r="BO66" i="11"/>
  <c r="BN66" i="11"/>
  <c r="BM66" i="11"/>
  <c r="BL66" i="11"/>
  <c r="BK66" i="11"/>
  <c r="BI66" i="11"/>
  <c r="BH66" i="11"/>
  <c r="BG66" i="11"/>
  <c r="BF66" i="11"/>
  <c r="BE66" i="11"/>
  <c r="BD66" i="11"/>
  <c r="BC66" i="11"/>
  <c r="BA66" i="11"/>
  <c r="AZ66" i="11"/>
  <c r="AY66" i="11"/>
  <c r="AX66" i="11"/>
  <c r="AW66" i="11"/>
  <c r="AV66" i="11"/>
  <c r="AU66" i="11"/>
  <c r="AS66" i="11"/>
  <c r="AQ66" i="11"/>
  <c r="AP66" i="11"/>
  <c r="AO66" i="11"/>
  <c r="AN66" i="11"/>
  <c r="AM66" i="11"/>
  <c r="CC65" i="11"/>
  <c r="CB65" i="11"/>
  <c r="CA65" i="11"/>
  <c r="BY65" i="11"/>
  <c r="BX65" i="11"/>
  <c r="BW65" i="11"/>
  <c r="BV65" i="11"/>
  <c r="BU65" i="11"/>
  <c r="BT65" i="11"/>
  <c r="BS65" i="11"/>
  <c r="BQ65" i="11"/>
  <c r="BP65" i="11"/>
  <c r="BO65" i="11"/>
  <c r="BN65" i="11"/>
  <c r="BM65" i="11"/>
  <c r="BL65" i="11"/>
  <c r="BK65" i="11"/>
  <c r="BI65" i="11"/>
  <c r="BH65" i="11"/>
  <c r="BG65" i="11"/>
  <c r="BF65" i="11"/>
  <c r="BE65" i="11"/>
  <c r="BD65" i="11"/>
  <c r="BC65" i="11"/>
  <c r="BA65" i="11"/>
  <c r="AZ65" i="11"/>
  <c r="AY65" i="11"/>
  <c r="AX65" i="11"/>
  <c r="AW65" i="11"/>
  <c r="AV65" i="11"/>
  <c r="AU65" i="11"/>
  <c r="AS65" i="11"/>
  <c r="AQ65" i="11"/>
  <c r="AP65" i="11"/>
  <c r="AO65" i="11"/>
  <c r="AN65" i="11"/>
  <c r="AM65" i="11"/>
  <c r="CC64" i="11"/>
  <c r="CB64" i="11"/>
  <c r="CA64" i="11"/>
  <c r="BY64" i="11"/>
  <c r="BX64" i="11"/>
  <c r="BW64" i="11"/>
  <c r="BV64" i="11"/>
  <c r="BU64" i="11"/>
  <c r="BT64" i="11"/>
  <c r="BS64" i="11"/>
  <c r="BQ64" i="11"/>
  <c r="BP64" i="11"/>
  <c r="BO64" i="11"/>
  <c r="BN64" i="11"/>
  <c r="BM64" i="11"/>
  <c r="BL64" i="11"/>
  <c r="BK64" i="11"/>
  <c r="BI64" i="11"/>
  <c r="BH64" i="11"/>
  <c r="BG64" i="11"/>
  <c r="BF64" i="11"/>
  <c r="BE64" i="11"/>
  <c r="BD64" i="11"/>
  <c r="BC64" i="11"/>
  <c r="BA64" i="11"/>
  <c r="AZ64" i="11"/>
  <c r="AY64" i="11"/>
  <c r="AX64" i="11"/>
  <c r="AW64" i="11"/>
  <c r="AV64" i="11"/>
  <c r="AU64" i="11"/>
  <c r="AS64" i="11"/>
  <c r="AQ64" i="11"/>
  <c r="AP64" i="11"/>
  <c r="AO64" i="11"/>
  <c r="AN64" i="11"/>
  <c r="AM64" i="11"/>
  <c r="CC63" i="11"/>
  <c r="CB63" i="11"/>
  <c r="CA63" i="11"/>
  <c r="BY63" i="11"/>
  <c r="BX63" i="11"/>
  <c r="BW63" i="11"/>
  <c r="BV63" i="11"/>
  <c r="BU63" i="11"/>
  <c r="BT63" i="11"/>
  <c r="BS63" i="11"/>
  <c r="BQ63" i="11"/>
  <c r="BP63" i="11"/>
  <c r="BO63" i="11"/>
  <c r="BN63" i="11"/>
  <c r="BM63" i="11"/>
  <c r="BL63" i="11"/>
  <c r="BK63" i="11"/>
  <c r="BI63" i="11"/>
  <c r="BH63" i="11"/>
  <c r="BG63" i="11"/>
  <c r="BF63" i="11"/>
  <c r="BE63" i="11"/>
  <c r="BD63" i="11"/>
  <c r="BC63" i="11"/>
  <c r="BA63" i="11"/>
  <c r="AZ63" i="11"/>
  <c r="AY63" i="11"/>
  <c r="AX63" i="11"/>
  <c r="AW63" i="11"/>
  <c r="AV63" i="11"/>
  <c r="AU63" i="11"/>
  <c r="AS63" i="11"/>
  <c r="AQ63" i="11"/>
  <c r="AP63" i="11"/>
  <c r="AO63" i="11"/>
  <c r="AN63" i="11"/>
  <c r="AM63" i="11"/>
  <c r="AR43" i="11"/>
  <c r="AR42" i="11"/>
  <c r="AR41" i="11"/>
  <c r="AR40" i="11"/>
  <c r="AR39" i="11"/>
  <c r="AR38" i="11"/>
  <c r="AR37" i="11"/>
  <c r="AR36" i="11"/>
  <c r="AR35" i="11"/>
  <c r="AR34" i="11"/>
  <c r="AR33" i="11"/>
  <c r="AR32" i="11"/>
  <c r="AR31" i="11"/>
  <c r="AR29" i="11"/>
  <c r="AR28" i="11"/>
  <c r="AR27" i="11"/>
  <c r="AR26" i="11"/>
  <c r="AR25" i="11"/>
  <c r="AR24" i="11"/>
  <c r="AR23" i="11"/>
  <c r="AR22" i="11"/>
  <c r="AR21" i="11"/>
  <c r="AR20" i="11"/>
  <c r="AR19" i="11"/>
  <c r="AR18" i="11"/>
  <c r="AR17" i="11"/>
  <c r="CW70" i="10"/>
  <c r="CV70" i="10"/>
  <c r="CU70" i="10"/>
  <c r="CT70" i="10"/>
  <c r="CS70" i="10"/>
  <c r="CR70" i="10"/>
  <c r="CQ70" i="10"/>
  <c r="CO70" i="10"/>
  <c r="CN70" i="10"/>
  <c r="CM70" i="10"/>
  <c r="CL70" i="10"/>
  <c r="CK70" i="10"/>
  <c r="CJ70" i="10"/>
  <c r="CI70" i="10"/>
  <c r="CG70" i="10"/>
  <c r="CF70" i="10"/>
  <c r="CE70" i="10"/>
  <c r="CD70" i="10"/>
  <c r="CC70" i="10"/>
  <c r="CB70" i="10"/>
  <c r="CA70" i="10"/>
  <c r="BY70" i="10"/>
  <c r="BX70" i="10"/>
  <c r="BW70" i="10"/>
  <c r="BV70" i="10"/>
  <c r="BU70" i="10"/>
  <c r="BT70" i="10"/>
  <c r="BS70" i="10"/>
  <c r="BQ70" i="10"/>
  <c r="BP70" i="10"/>
  <c r="BO70" i="10"/>
  <c r="BN70" i="10"/>
  <c r="BM70" i="10"/>
  <c r="BL70" i="10"/>
  <c r="BK70" i="10"/>
  <c r="BI70" i="10"/>
  <c r="BH70" i="10"/>
  <c r="BG70" i="10"/>
  <c r="BF70" i="10"/>
  <c r="BE70" i="10"/>
  <c r="BD70" i="10"/>
  <c r="BC70" i="10"/>
  <c r="BA70" i="10"/>
  <c r="AZ70" i="10"/>
  <c r="AY70" i="10"/>
  <c r="AX70" i="10"/>
  <c r="AW70" i="10"/>
  <c r="AV70" i="10"/>
  <c r="AU70" i="10"/>
  <c r="AS70" i="10"/>
  <c r="AR70" i="10"/>
  <c r="AQ70" i="10"/>
  <c r="AP70" i="10"/>
  <c r="AO70" i="10"/>
  <c r="AN70" i="10"/>
  <c r="AM70" i="10"/>
  <c r="CW69" i="10"/>
  <c r="CV69" i="10"/>
  <c r="CU69" i="10"/>
  <c r="CT69" i="10"/>
  <c r="CS69" i="10"/>
  <c r="CR69" i="10"/>
  <c r="CQ69" i="10"/>
  <c r="CO69" i="10"/>
  <c r="CN69" i="10"/>
  <c r="CM69" i="10"/>
  <c r="CL69" i="10"/>
  <c r="CK69" i="10"/>
  <c r="CJ69" i="10"/>
  <c r="CI69" i="10"/>
  <c r="CG69" i="10"/>
  <c r="CF69" i="10"/>
  <c r="CE69" i="10"/>
  <c r="CD69" i="10"/>
  <c r="CC69" i="10"/>
  <c r="CB69" i="10"/>
  <c r="CA69" i="10"/>
  <c r="BY69" i="10"/>
  <c r="BX69" i="10"/>
  <c r="BW69" i="10"/>
  <c r="BV69" i="10"/>
  <c r="BU69" i="10"/>
  <c r="BT69" i="10"/>
  <c r="BS69" i="10"/>
  <c r="BQ69" i="10"/>
  <c r="BP69" i="10"/>
  <c r="BO69" i="10"/>
  <c r="BN69" i="10"/>
  <c r="BM69" i="10"/>
  <c r="BL69" i="10"/>
  <c r="BK69" i="10"/>
  <c r="BI69" i="10"/>
  <c r="BH69" i="10"/>
  <c r="BG69" i="10"/>
  <c r="BF69" i="10"/>
  <c r="BE69" i="10"/>
  <c r="BD69" i="10"/>
  <c r="BC69" i="10"/>
  <c r="BA69" i="10"/>
  <c r="AZ69" i="10"/>
  <c r="AY69" i="10"/>
  <c r="AX69" i="10"/>
  <c r="AW69" i="10"/>
  <c r="AV69" i="10"/>
  <c r="AU69" i="10"/>
  <c r="AS69" i="10"/>
  <c r="AR69" i="10"/>
  <c r="AQ69" i="10"/>
  <c r="AP69" i="10"/>
  <c r="AO69" i="10"/>
  <c r="AN69" i="10"/>
  <c r="AM69" i="10"/>
  <c r="CW68" i="10"/>
  <c r="CV68" i="10"/>
  <c r="CU68" i="10"/>
  <c r="CT68" i="10"/>
  <c r="CS68" i="10"/>
  <c r="CR68" i="10"/>
  <c r="CQ68" i="10"/>
  <c r="CO68" i="10"/>
  <c r="CN68" i="10"/>
  <c r="CM68" i="10"/>
  <c r="CL68" i="10"/>
  <c r="CK68" i="10"/>
  <c r="CJ68" i="10"/>
  <c r="CI68" i="10"/>
  <c r="CG68" i="10"/>
  <c r="CF68" i="10"/>
  <c r="CE68" i="10"/>
  <c r="CD68" i="10"/>
  <c r="CC68" i="10"/>
  <c r="CB68" i="10"/>
  <c r="CA68" i="10"/>
  <c r="BY68" i="10"/>
  <c r="BX68" i="10"/>
  <c r="BW68" i="10"/>
  <c r="BV68" i="10"/>
  <c r="BU68" i="10"/>
  <c r="BT68" i="10"/>
  <c r="BS68" i="10"/>
  <c r="BQ68" i="10"/>
  <c r="BP68" i="10"/>
  <c r="BO68" i="10"/>
  <c r="BN68" i="10"/>
  <c r="BM68" i="10"/>
  <c r="BL68" i="10"/>
  <c r="BK68" i="10"/>
  <c r="BI68" i="10"/>
  <c r="BH68" i="10"/>
  <c r="BG68" i="10"/>
  <c r="BF68" i="10"/>
  <c r="BE68" i="10"/>
  <c r="BD68" i="10"/>
  <c r="BC68" i="10"/>
  <c r="BA68" i="10"/>
  <c r="AZ68" i="10"/>
  <c r="AY68" i="10"/>
  <c r="AX68" i="10"/>
  <c r="AW68" i="10"/>
  <c r="AV68" i="10"/>
  <c r="AU68" i="10"/>
  <c r="AS68" i="10"/>
  <c r="AQ68" i="10"/>
  <c r="AP68" i="10"/>
  <c r="AO68" i="10"/>
  <c r="AN68" i="10"/>
  <c r="AM68" i="10"/>
  <c r="CW67" i="10"/>
  <c r="CV67" i="10"/>
  <c r="CU67" i="10"/>
  <c r="CT67" i="10"/>
  <c r="CS67" i="10"/>
  <c r="CR67" i="10"/>
  <c r="CQ67" i="10"/>
  <c r="CO67" i="10"/>
  <c r="CN67" i="10"/>
  <c r="CM67" i="10"/>
  <c r="CL67" i="10"/>
  <c r="CK67" i="10"/>
  <c r="CJ67" i="10"/>
  <c r="CI67" i="10"/>
  <c r="CG67" i="10"/>
  <c r="CF67" i="10"/>
  <c r="CE67" i="10"/>
  <c r="CD67" i="10"/>
  <c r="CC67" i="10"/>
  <c r="CB67" i="10"/>
  <c r="CA67" i="10"/>
  <c r="BY67" i="10"/>
  <c r="BX67" i="10"/>
  <c r="BW67" i="10"/>
  <c r="BV67" i="10"/>
  <c r="BU67" i="10"/>
  <c r="BT67" i="10"/>
  <c r="BS67" i="10"/>
  <c r="BQ67" i="10"/>
  <c r="BP67" i="10"/>
  <c r="BO67" i="10"/>
  <c r="BN67" i="10"/>
  <c r="BM67" i="10"/>
  <c r="BL67" i="10"/>
  <c r="BK67" i="10"/>
  <c r="BI67" i="10"/>
  <c r="BH67" i="10"/>
  <c r="BG67" i="10"/>
  <c r="BF67" i="10"/>
  <c r="BE67" i="10"/>
  <c r="BD67" i="10"/>
  <c r="BC67" i="10"/>
  <c r="BA67" i="10"/>
  <c r="AZ67" i="10"/>
  <c r="AY67" i="10"/>
  <c r="AX67" i="10"/>
  <c r="AW67" i="10"/>
  <c r="AV67" i="10"/>
  <c r="AU67" i="10"/>
  <c r="AS67" i="10"/>
  <c r="AQ67" i="10"/>
  <c r="AP67" i="10"/>
  <c r="AO67" i="10"/>
  <c r="AN67" i="10"/>
  <c r="AM67" i="10"/>
  <c r="CW66" i="10"/>
  <c r="CV66" i="10"/>
  <c r="CU66" i="10"/>
  <c r="CT66" i="10"/>
  <c r="CS66" i="10"/>
  <c r="CR66" i="10"/>
  <c r="CQ66" i="10"/>
  <c r="CO66" i="10"/>
  <c r="CN66" i="10"/>
  <c r="CM66" i="10"/>
  <c r="CL66" i="10"/>
  <c r="CK66" i="10"/>
  <c r="CJ66" i="10"/>
  <c r="CI66" i="10"/>
  <c r="CG66" i="10"/>
  <c r="CF66" i="10"/>
  <c r="CE66" i="10"/>
  <c r="CD66" i="10"/>
  <c r="CC66" i="10"/>
  <c r="CB66" i="10"/>
  <c r="CA66" i="10"/>
  <c r="BY66" i="10"/>
  <c r="BX66" i="10"/>
  <c r="BW66" i="10"/>
  <c r="BV66" i="10"/>
  <c r="BU66" i="10"/>
  <c r="BT66" i="10"/>
  <c r="BS66" i="10"/>
  <c r="BQ66" i="10"/>
  <c r="BP66" i="10"/>
  <c r="BO66" i="10"/>
  <c r="BN66" i="10"/>
  <c r="BM66" i="10"/>
  <c r="BL66" i="10"/>
  <c r="BK66" i="10"/>
  <c r="BI66" i="10"/>
  <c r="BH66" i="10"/>
  <c r="BG66" i="10"/>
  <c r="BF66" i="10"/>
  <c r="BE66" i="10"/>
  <c r="BD66" i="10"/>
  <c r="BC66" i="10"/>
  <c r="BA66" i="10"/>
  <c r="AZ66" i="10"/>
  <c r="AY66" i="10"/>
  <c r="AX66" i="10"/>
  <c r="AW66" i="10"/>
  <c r="AV66" i="10"/>
  <c r="AU66" i="10"/>
  <c r="AS66" i="10"/>
  <c r="AQ66" i="10"/>
  <c r="AP66" i="10"/>
  <c r="AO66" i="10"/>
  <c r="AN66" i="10"/>
  <c r="AM66" i="10"/>
  <c r="CW65" i="10"/>
  <c r="CV65" i="10"/>
  <c r="CU65" i="10"/>
  <c r="CT65" i="10"/>
  <c r="CS65" i="10"/>
  <c r="CR65" i="10"/>
  <c r="CQ65" i="10"/>
  <c r="CO65" i="10"/>
  <c r="CN65" i="10"/>
  <c r="CM65" i="10"/>
  <c r="CL65" i="10"/>
  <c r="CK65" i="10"/>
  <c r="CJ65" i="10"/>
  <c r="CI65" i="10"/>
  <c r="CG65" i="10"/>
  <c r="CF65" i="10"/>
  <c r="CE65" i="10"/>
  <c r="CD65" i="10"/>
  <c r="CC65" i="10"/>
  <c r="CB65" i="10"/>
  <c r="CA65" i="10"/>
  <c r="BY65" i="10"/>
  <c r="BX65" i="10"/>
  <c r="BW65" i="10"/>
  <c r="BV65" i="10"/>
  <c r="BU65" i="10"/>
  <c r="BT65" i="10"/>
  <c r="BS65" i="10"/>
  <c r="BQ65" i="10"/>
  <c r="BP65" i="10"/>
  <c r="BO65" i="10"/>
  <c r="BN65" i="10"/>
  <c r="BM65" i="10"/>
  <c r="BL65" i="10"/>
  <c r="BK65" i="10"/>
  <c r="BI65" i="10"/>
  <c r="BH65" i="10"/>
  <c r="BG65" i="10"/>
  <c r="BF65" i="10"/>
  <c r="BE65" i="10"/>
  <c r="BD65" i="10"/>
  <c r="BC65" i="10"/>
  <c r="BA65" i="10"/>
  <c r="AZ65" i="10"/>
  <c r="AY65" i="10"/>
  <c r="AX65" i="10"/>
  <c r="AW65" i="10"/>
  <c r="AV65" i="10"/>
  <c r="AU65" i="10"/>
  <c r="AS65" i="10"/>
  <c r="AQ65" i="10"/>
  <c r="AP65" i="10"/>
  <c r="AO65" i="10"/>
  <c r="AN65" i="10"/>
  <c r="AM65" i="10"/>
  <c r="CW64" i="10"/>
  <c r="CV64" i="10"/>
  <c r="CU64" i="10"/>
  <c r="CT64" i="10"/>
  <c r="CS64" i="10"/>
  <c r="CR64" i="10"/>
  <c r="CQ64" i="10"/>
  <c r="CO64" i="10"/>
  <c r="CN64" i="10"/>
  <c r="CM64" i="10"/>
  <c r="CL64" i="10"/>
  <c r="CK64" i="10"/>
  <c r="CJ64" i="10"/>
  <c r="CI64" i="10"/>
  <c r="CG64" i="10"/>
  <c r="CF64" i="10"/>
  <c r="CE64" i="10"/>
  <c r="CD64" i="10"/>
  <c r="CC64" i="10"/>
  <c r="CB64" i="10"/>
  <c r="CA64" i="10"/>
  <c r="BY64" i="10"/>
  <c r="BX64" i="10"/>
  <c r="BW64" i="10"/>
  <c r="BV64" i="10"/>
  <c r="BU64" i="10"/>
  <c r="BT64" i="10"/>
  <c r="BS64" i="10"/>
  <c r="BQ64" i="10"/>
  <c r="BP64" i="10"/>
  <c r="BO64" i="10"/>
  <c r="BN64" i="10"/>
  <c r="BM64" i="10"/>
  <c r="BL64" i="10"/>
  <c r="BK64" i="10"/>
  <c r="BI64" i="10"/>
  <c r="BH64" i="10"/>
  <c r="BG64" i="10"/>
  <c r="BF64" i="10"/>
  <c r="BE64" i="10"/>
  <c r="BD64" i="10"/>
  <c r="BC64" i="10"/>
  <c r="BA64" i="10"/>
  <c r="AZ64" i="10"/>
  <c r="AY64" i="10"/>
  <c r="AX64" i="10"/>
  <c r="AW64" i="10"/>
  <c r="AV64" i="10"/>
  <c r="AU64" i="10"/>
  <c r="AS64" i="10"/>
  <c r="AQ64" i="10"/>
  <c r="AP64" i="10"/>
  <c r="AO64" i="10"/>
  <c r="AN64" i="10"/>
  <c r="AM64" i="10"/>
  <c r="AR44" i="10"/>
  <c r="AR43" i="10"/>
  <c r="AR42" i="10"/>
  <c r="AR41" i="10"/>
  <c r="AR40" i="10"/>
  <c r="AR39" i="10"/>
  <c r="AR38" i="10"/>
  <c r="AR37" i="10"/>
  <c r="AR36" i="10"/>
  <c r="AR35" i="10"/>
  <c r="AR34" i="10"/>
  <c r="AR33" i="10"/>
  <c r="AR32" i="10"/>
  <c r="AR30" i="10"/>
  <c r="AR29" i="10"/>
  <c r="AR28" i="10"/>
  <c r="AR27" i="10"/>
  <c r="AR26" i="10"/>
  <c r="AR25" i="10"/>
  <c r="AR24" i="10"/>
  <c r="AR23" i="10"/>
  <c r="AR22" i="10"/>
  <c r="AR21" i="10"/>
  <c r="AR20" i="10"/>
  <c r="AR19" i="10"/>
  <c r="AR18" i="10"/>
  <c r="DS70" i="7"/>
  <c r="DR70" i="7"/>
  <c r="DQ70" i="7"/>
  <c r="DP70" i="7"/>
  <c r="DO70" i="7"/>
  <c r="DN70" i="7"/>
  <c r="DM70" i="7"/>
  <c r="DS69" i="7"/>
  <c r="DR69" i="7"/>
  <c r="DQ69" i="7"/>
  <c r="DP69" i="7"/>
  <c r="DO69" i="7"/>
  <c r="DN69" i="7"/>
  <c r="DM69" i="7"/>
  <c r="DS68" i="7"/>
  <c r="DR68" i="7"/>
  <c r="DQ68" i="7"/>
  <c r="DP68" i="7"/>
  <c r="DO68" i="7"/>
  <c r="DN68" i="7"/>
  <c r="DM68" i="7"/>
  <c r="DS67" i="7"/>
  <c r="DR67" i="7"/>
  <c r="DQ67" i="7"/>
  <c r="DP67" i="7"/>
  <c r="DO67" i="7"/>
  <c r="DN67" i="7"/>
  <c r="DM67" i="7"/>
  <c r="DS66" i="7"/>
  <c r="DR66" i="7"/>
  <c r="DQ66" i="7"/>
  <c r="DP66" i="7"/>
  <c r="DO66" i="7"/>
  <c r="DN66" i="7"/>
  <c r="DM66" i="7"/>
  <c r="DS65" i="7"/>
  <c r="DR65" i="7"/>
  <c r="DQ65" i="7"/>
  <c r="DP65" i="7"/>
  <c r="DO65" i="7"/>
  <c r="DN65" i="7"/>
  <c r="DM65" i="7"/>
  <c r="DS64" i="7"/>
  <c r="DR64" i="7"/>
  <c r="DQ64" i="7"/>
  <c r="DP64" i="7"/>
  <c r="DO64" i="7"/>
  <c r="DN64" i="7"/>
  <c r="DM64" i="7"/>
  <c r="DK70" i="7"/>
  <c r="DJ70" i="7"/>
  <c r="DI70" i="7"/>
  <c r="DH70" i="7"/>
  <c r="DG70" i="7"/>
  <c r="DF70" i="7"/>
  <c r="DE70" i="7"/>
  <c r="DK69" i="7"/>
  <c r="DJ69" i="7"/>
  <c r="DI69" i="7"/>
  <c r="DH69" i="7"/>
  <c r="DG69" i="7"/>
  <c r="DF69" i="7"/>
  <c r="DE69" i="7"/>
  <c r="DK68" i="7"/>
  <c r="DJ68" i="7"/>
  <c r="DI68" i="7"/>
  <c r="DH68" i="7"/>
  <c r="DG68" i="7"/>
  <c r="DF68" i="7"/>
  <c r="DE68" i="7"/>
  <c r="DK67" i="7"/>
  <c r="DJ67" i="7"/>
  <c r="DI67" i="7"/>
  <c r="DH67" i="7"/>
  <c r="DG67" i="7"/>
  <c r="DF67" i="7"/>
  <c r="DE67" i="7"/>
  <c r="DK66" i="7"/>
  <c r="DJ66" i="7"/>
  <c r="DI66" i="7"/>
  <c r="DH66" i="7"/>
  <c r="DG66" i="7"/>
  <c r="DF66" i="7"/>
  <c r="DE66" i="7"/>
  <c r="DK65" i="7"/>
  <c r="DJ65" i="7"/>
  <c r="DI65" i="7"/>
  <c r="DH65" i="7"/>
  <c r="DG65" i="7"/>
  <c r="DF65" i="7"/>
  <c r="DE65" i="7"/>
  <c r="DK64" i="7"/>
  <c r="DJ64" i="7"/>
  <c r="DI64" i="7"/>
  <c r="DH64" i="7"/>
  <c r="DG64" i="7"/>
  <c r="DF64" i="7"/>
  <c r="DE64" i="7"/>
  <c r="DC70" i="7"/>
  <c r="DB70" i="7"/>
  <c r="DA70" i="7"/>
  <c r="CZ70" i="7"/>
  <c r="CY70" i="7"/>
  <c r="CX70" i="7"/>
  <c r="CW70" i="7"/>
  <c r="CU70" i="7"/>
  <c r="CT70" i="7"/>
  <c r="CS70" i="7"/>
  <c r="CR70" i="7"/>
  <c r="CQ70" i="7"/>
  <c r="CP70" i="7"/>
  <c r="CO70" i="7"/>
  <c r="CM70" i="7"/>
  <c r="CL70" i="7"/>
  <c r="CK70" i="7"/>
  <c r="CJ70" i="7"/>
  <c r="CI70" i="7"/>
  <c r="CH70" i="7"/>
  <c r="CG70" i="7"/>
  <c r="CE70" i="7"/>
  <c r="CD70" i="7"/>
  <c r="CC70" i="7"/>
  <c r="CB70" i="7"/>
  <c r="CA70" i="7"/>
  <c r="BZ70" i="7"/>
  <c r="BY70" i="7"/>
  <c r="BW70" i="7"/>
  <c r="BV70" i="7"/>
  <c r="BU70" i="7"/>
  <c r="BT70" i="7"/>
  <c r="BS70" i="7"/>
  <c r="BR70" i="7"/>
  <c r="BQ70" i="7"/>
  <c r="BO70" i="7"/>
  <c r="BN70" i="7"/>
  <c r="BM70" i="7"/>
  <c r="BL70" i="7"/>
  <c r="BK70" i="7"/>
  <c r="BJ70" i="7"/>
  <c r="BI70" i="7"/>
  <c r="BG70" i="7"/>
  <c r="BF70" i="7"/>
  <c r="BE70" i="7"/>
  <c r="BD70" i="7"/>
  <c r="BC70" i="7"/>
  <c r="BB70" i="7"/>
  <c r="BA70" i="7"/>
  <c r="AY70" i="7"/>
  <c r="AX70" i="7"/>
  <c r="AW70" i="7"/>
  <c r="AV70" i="7"/>
  <c r="AU70" i="7"/>
  <c r="AT70" i="7"/>
  <c r="AS70" i="7"/>
  <c r="AQ70" i="7"/>
  <c r="AP70" i="7"/>
  <c r="AO70" i="7"/>
  <c r="AN70" i="7"/>
  <c r="AM70" i="7"/>
  <c r="AL70" i="7"/>
  <c r="AK70" i="7"/>
  <c r="AI70" i="7"/>
  <c r="AH70" i="7"/>
  <c r="AG70" i="7"/>
  <c r="AF70" i="7"/>
  <c r="AE70" i="7"/>
  <c r="AD70" i="7"/>
  <c r="AC70" i="7"/>
  <c r="DC69" i="7"/>
  <c r="DB69" i="7"/>
  <c r="DA69" i="7"/>
  <c r="CZ69" i="7"/>
  <c r="CY69" i="7"/>
  <c r="CX69" i="7"/>
  <c r="CW69" i="7"/>
  <c r="CU69" i="7"/>
  <c r="CT69" i="7"/>
  <c r="CS69" i="7"/>
  <c r="CR69" i="7"/>
  <c r="CQ69" i="7"/>
  <c r="CP69" i="7"/>
  <c r="CO69" i="7"/>
  <c r="CM69" i="7"/>
  <c r="CL69" i="7"/>
  <c r="CK69" i="7"/>
  <c r="CJ69" i="7"/>
  <c r="CI69" i="7"/>
  <c r="CH69" i="7"/>
  <c r="CG69" i="7"/>
  <c r="CE69" i="7"/>
  <c r="CD69" i="7"/>
  <c r="CC69" i="7"/>
  <c r="CB69" i="7"/>
  <c r="CA69" i="7"/>
  <c r="BZ69" i="7"/>
  <c r="BY69" i="7"/>
  <c r="BW69" i="7"/>
  <c r="BV69" i="7"/>
  <c r="BU69" i="7"/>
  <c r="BT69" i="7"/>
  <c r="BS69" i="7"/>
  <c r="BR69" i="7"/>
  <c r="BQ69" i="7"/>
  <c r="BO69" i="7"/>
  <c r="BN69" i="7"/>
  <c r="BM69" i="7"/>
  <c r="BL69" i="7"/>
  <c r="BK69" i="7"/>
  <c r="BJ69" i="7"/>
  <c r="BI69" i="7"/>
  <c r="BG69" i="7"/>
  <c r="BF69" i="7"/>
  <c r="BE69" i="7"/>
  <c r="BD69" i="7"/>
  <c r="BC69" i="7"/>
  <c r="BB69" i="7"/>
  <c r="BA69" i="7"/>
  <c r="AY69" i="7"/>
  <c r="AX69" i="7"/>
  <c r="AW69" i="7"/>
  <c r="AV69" i="7"/>
  <c r="AU69" i="7"/>
  <c r="AT69" i="7"/>
  <c r="AS69" i="7"/>
  <c r="AQ69" i="7"/>
  <c r="AP69" i="7"/>
  <c r="AO69" i="7"/>
  <c r="AN69" i="7"/>
  <c r="AM69" i="7"/>
  <c r="AL69" i="7"/>
  <c r="AK69" i="7"/>
  <c r="AI69" i="7"/>
  <c r="AH69" i="7"/>
  <c r="AG69" i="7"/>
  <c r="AF69" i="7"/>
  <c r="AE69" i="7"/>
  <c r="AD69" i="7"/>
  <c r="AC69" i="7"/>
  <c r="DC68" i="7"/>
  <c r="DB68" i="7"/>
  <c r="DA68" i="7"/>
  <c r="CZ68" i="7"/>
  <c r="CY68" i="7"/>
  <c r="CX68" i="7"/>
  <c r="CW68" i="7"/>
  <c r="CU68" i="7"/>
  <c r="CT68" i="7"/>
  <c r="CS68" i="7"/>
  <c r="CR68" i="7"/>
  <c r="CQ68" i="7"/>
  <c r="CP68" i="7"/>
  <c r="CO68" i="7"/>
  <c r="CM68" i="7"/>
  <c r="CL68" i="7"/>
  <c r="CK68" i="7"/>
  <c r="CJ68" i="7"/>
  <c r="CI68" i="7"/>
  <c r="CH68" i="7"/>
  <c r="CG68" i="7"/>
  <c r="CE68" i="7"/>
  <c r="CD68" i="7"/>
  <c r="CC68" i="7"/>
  <c r="CB68" i="7"/>
  <c r="CA68" i="7"/>
  <c r="BZ68" i="7"/>
  <c r="BY68" i="7"/>
  <c r="BW68" i="7"/>
  <c r="BV68" i="7"/>
  <c r="BU68" i="7"/>
  <c r="BT68" i="7"/>
  <c r="BS68" i="7"/>
  <c r="BR68" i="7"/>
  <c r="BQ68" i="7"/>
  <c r="BO68" i="7"/>
  <c r="BN68" i="7"/>
  <c r="BM68" i="7"/>
  <c r="BL68" i="7"/>
  <c r="BK68" i="7"/>
  <c r="BJ68" i="7"/>
  <c r="BI68" i="7"/>
  <c r="BG68" i="7"/>
  <c r="BF68" i="7"/>
  <c r="BE68" i="7"/>
  <c r="BD68" i="7"/>
  <c r="BC68" i="7"/>
  <c r="BB68" i="7"/>
  <c r="BA68" i="7"/>
  <c r="AY68" i="7"/>
  <c r="AX68" i="7"/>
  <c r="AW68" i="7"/>
  <c r="AV68" i="7"/>
  <c r="AU68" i="7"/>
  <c r="AT68" i="7"/>
  <c r="AS68" i="7"/>
  <c r="AQ68" i="7"/>
  <c r="AP68" i="7"/>
  <c r="AO68" i="7"/>
  <c r="AN68" i="7"/>
  <c r="AM68" i="7"/>
  <c r="AL68" i="7"/>
  <c r="AK68" i="7"/>
  <c r="AI68" i="7"/>
  <c r="AG68" i="7"/>
  <c r="AF68" i="7"/>
  <c r="AE68" i="7"/>
  <c r="AD68" i="7"/>
  <c r="AC68" i="7"/>
  <c r="DC67" i="7"/>
  <c r="DB67" i="7"/>
  <c r="DA67" i="7"/>
  <c r="CZ67" i="7"/>
  <c r="CY67" i="7"/>
  <c r="CX67" i="7"/>
  <c r="CW67" i="7"/>
  <c r="CU67" i="7"/>
  <c r="CT67" i="7"/>
  <c r="CS67" i="7"/>
  <c r="CR67" i="7"/>
  <c r="CQ67" i="7"/>
  <c r="CP67" i="7"/>
  <c r="CO67" i="7"/>
  <c r="CM67" i="7"/>
  <c r="CL67" i="7"/>
  <c r="CK67" i="7"/>
  <c r="CJ67" i="7"/>
  <c r="CI67" i="7"/>
  <c r="CH67" i="7"/>
  <c r="CG67" i="7"/>
  <c r="CE67" i="7"/>
  <c r="CD67" i="7"/>
  <c r="CC67" i="7"/>
  <c r="CB67" i="7"/>
  <c r="CA67" i="7"/>
  <c r="BZ67" i="7"/>
  <c r="BY67" i="7"/>
  <c r="BW67" i="7"/>
  <c r="BV67" i="7"/>
  <c r="BU67" i="7"/>
  <c r="BT67" i="7"/>
  <c r="BS67" i="7"/>
  <c r="BR67" i="7"/>
  <c r="BQ67" i="7"/>
  <c r="BO67" i="7"/>
  <c r="BN67" i="7"/>
  <c r="BM67" i="7"/>
  <c r="BL67" i="7"/>
  <c r="BK67" i="7"/>
  <c r="BJ67" i="7"/>
  <c r="BI67" i="7"/>
  <c r="BG67" i="7"/>
  <c r="BF67" i="7"/>
  <c r="BE67" i="7"/>
  <c r="BD67" i="7"/>
  <c r="BC67" i="7"/>
  <c r="BB67" i="7"/>
  <c r="BA67" i="7"/>
  <c r="AY67" i="7"/>
  <c r="AX67" i="7"/>
  <c r="AW67" i="7"/>
  <c r="AV67" i="7"/>
  <c r="AU67" i="7"/>
  <c r="AT67" i="7"/>
  <c r="AS67" i="7"/>
  <c r="AQ67" i="7"/>
  <c r="AP67" i="7"/>
  <c r="AO67" i="7"/>
  <c r="AN67" i="7"/>
  <c r="AM67" i="7"/>
  <c r="AL67" i="7"/>
  <c r="AK67" i="7"/>
  <c r="AI67" i="7"/>
  <c r="AG67" i="7"/>
  <c r="AF67" i="7"/>
  <c r="AE67" i="7"/>
  <c r="AD67" i="7"/>
  <c r="AC67" i="7"/>
  <c r="DC66" i="7"/>
  <c r="DB66" i="7"/>
  <c r="DA66" i="7"/>
  <c r="CZ66" i="7"/>
  <c r="CY66" i="7"/>
  <c r="CX66" i="7"/>
  <c r="CW66" i="7"/>
  <c r="CU66" i="7"/>
  <c r="CT66" i="7"/>
  <c r="CS66" i="7"/>
  <c r="CR66" i="7"/>
  <c r="CQ66" i="7"/>
  <c r="CP66" i="7"/>
  <c r="CO66" i="7"/>
  <c r="CM66" i="7"/>
  <c r="CL66" i="7"/>
  <c r="CK66" i="7"/>
  <c r="CJ66" i="7"/>
  <c r="CI66" i="7"/>
  <c r="CH66" i="7"/>
  <c r="CG66" i="7"/>
  <c r="CE66" i="7"/>
  <c r="CD66" i="7"/>
  <c r="CC66" i="7"/>
  <c r="CB66" i="7"/>
  <c r="CA66" i="7"/>
  <c r="BZ66" i="7"/>
  <c r="BY66" i="7"/>
  <c r="BW66" i="7"/>
  <c r="BV66" i="7"/>
  <c r="BU66" i="7"/>
  <c r="BT66" i="7"/>
  <c r="BS66" i="7"/>
  <c r="BR66" i="7"/>
  <c r="BQ66" i="7"/>
  <c r="BO66" i="7"/>
  <c r="BN66" i="7"/>
  <c r="BM66" i="7"/>
  <c r="BL66" i="7"/>
  <c r="BK66" i="7"/>
  <c r="BJ66" i="7"/>
  <c r="BI66" i="7"/>
  <c r="BG66" i="7"/>
  <c r="BF66" i="7"/>
  <c r="BE66" i="7"/>
  <c r="BD66" i="7"/>
  <c r="BC66" i="7"/>
  <c r="BB66" i="7"/>
  <c r="BA66" i="7"/>
  <c r="AY66" i="7"/>
  <c r="AX66" i="7"/>
  <c r="AW66" i="7"/>
  <c r="AV66" i="7"/>
  <c r="AU66" i="7"/>
  <c r="AT66" i="7"/>
  <c r="AS66" i="7"/>
  <c r="AQ66" i="7"/>
  <c r="AP66" i="7"/>
  <c r="AO66" i="7"/>
  <c r="AN66" i="7"/>
  <c r="AM66" i="7"/>
  <c r="AL66" i="7"/>
  <c r="AK66" i="7"/>
  <c r="AI66" i="7"/>
  <c r="AG66" i="7"/>
  <c r="AF66" i="7"/>
  <c r="AE66" i="7"/>
  <c r="AD66" i="7"/>
  <c r="AC66" i="7"/>
  <c r="DC65" i="7"/>
  <c r="DB65" i="7"/>
  <c r="DA65" i="7"/>
  <c r="CZ65" i="7"/>
  <c r="CY65" i="7"/>
  <c r="CX65" i="7"/>
  <c r="CW65" i="7"/>
  <c r="CU65" i="7"/>
  <c r="CT65" i="7"/>
  <c r="CS65" i="7"/>
  <c r="CR65" i="7"/>
  <c r="CQ65" i="7"/>
  <c r="CP65" i="7"/>
  <c r="CO65" i="7"/>
  <c r="CM65" i="7"/>
  <c r="CL65" i="7"/>
  <c r="CK65" i="7"/>
  <c r="CJ65" i="7"/>
  <c r="CI65" i="7"/>
  <c r="CH65" i="7"/>
  <c r="CG65" i="7"/>
  <c r="CE65" i="7"/>
  <c r="CD65" i="7"/>
  <c r="CC65" i="7"/>
  <c r="CB65" i="7"/>
  <c r="CA65" i="7"/>
  <c r="BZ65" i="7"/>
  <c r="BY65" i="7"/>
  <c r="BW65" i="7"/>
  <c r="BV65" i="7"/>
  <c r="BU65" i="7"/>
  <c r="BT65" i="7"/>
  <c r="BS65" i="7"/>
  <c r="BR65" i="7"/>
  <c r="BQ65" i="7"/>
  <c r="BO65" i="7"/>
  <c r="BN65" i="7"/>
  <c r="BM65" i="7"/>
  <c r="BL65" i="7"/>
  <c r="BK65" i="7"/>
  <c r="BJ65" i="7"/>
  <c r="BI65" i="7"/>
  <c r="BG65" i="7"/>
  <c r="BF65" i="7"/>
  <c r="BE65" i="7"/>
  <c r="BD65" i="7"/>
  <c r="BC65" i="7"/>
  <c r="BB65" i="7"/>
  <c r="BA65" i="7"/>
  <c r="AY65" i="7"/>
  <c r="AX65" i="7"/>
  <c r="AW65" i="7"/>
  <c r="AV65" i="7"/>
  <c r="AU65" i="7"/>
  <c r="AT65" i="7"/>
  <c r="AS65" i="7"/>
  <c r="AQ65" i="7"/>
  <c r="AP65" i="7"/>
  <c r="AO65" i="7"/>
  <c r="AN65" i="7"/>
  <c r="AM65" i="7"/>
  <c r="AL65" i="7"/>
  <c r="AK65" i="7"/>
  <c r="AI65" i="7"/>
  <c r="AG65" i="7"/>
  <c r="AF65" i="7"/>
  <c r="AE65" i="7"/>
  <c r="AD65" i="7"/>
  <c r="AC65" i="7"/>
  <c r="DC64" i="7"/>
  <c r="DB64" i="7"/>
  <c r="DA64" i="7"/>
  <c r="CZ64" i="7"/>
  <c r="CY64" i="7"/>
  <c r="CX64" i="7"/>
  <c r="CW64" i="7"/>
  <c r="CU64" i="7"/>
  <c r="CT64" i="7"/>
  <c r="CS64" i="7"/>
  <c r="CR64" i="7"/>
  <c r="CQ64" i="7"/>
  <c r="CP64" i="7"/>
  <c r="CO64" i="7"/>
  <c r="CM64" i="7"/>
  <c r="CL64" i="7"/>
  <c r="CK64" i="7"/>
  <c r="CJ64" i="7"/>
  <c r="CI64" i="7"/>
  <c r="CH64" i="7"/>
  <c r="CG64" i="7"/>
  <c r="CE64" i="7"/>
  <c r="CD64" i="7"/>
  <c r="CC64" i="7"/>
  <c r="CB64" i="7"/>
  <c r="CA64" i="7"/>
  <c r="BZ64" i="7"/>
  <c r="BY64" i="7"/>
  <c r="BW64" i="7"/>
  <c r="BV64" i="7"/>
  <c r="BU64" i="7"/>
  <c r="BT64" i="7"/>
  <c r="BS64" i="7"/>
  <c r="BR64" i="7"/>
  <c r="BQ64" i="7"/>
  <c r="BO64" i="7"/>
  <c r="BN64" i="7"/>
  <c r="BM64" i="7"/>
  <c r="BL64" i="7"/>
  <c r="BK64" i="7"/>
  <c r="BJ64" i="7"/>
  <c r="BI64" i="7"/>
  <c r="BG64" i="7"/>
  <c r="BF64" i="7"/>
  <c r="BE64" i="7"/>
  <c r="BD64" i="7"/>
  <c r="BC64" i="7"/>
  <c r="BB64" i="7"/>
  <c r="BA64" i="7"/>
  <c r="AY64" i="7"/>
  <c r="AX64" i="7"/>
  <c r="AW64" i="7"/>
  <c r="AV64" i="7"/>
  <c r="AU64" i="7"/>
  <c r="AT64" i="7"/>
  <c r="AS64" i="7"/>
  <c r="AQ64" i="7"/>
  <c r="AP64" i="7"/>
  <c r="AO64" i="7"/>
  <c r="AN64" i="7"/>
  <c r="AM64" i="7"/>
  <c r="AL64" i="7"/>
  <c r="AK64" i="7"/>
  <c r="AI64" i="7"/>
  <c r="AG64" i="7"/>
  <c r="AF64" i="7"/>
  <c r="AE64" i="7"/>
  <c r="AD64" i="7"/>
  <c r="AC64" i="7"/>
  <c r="AH44" i="7"/>
  <c r="AH43" i="7"/>
  <c r="AH42" i="7"/>
  <c r="AH41" i="7"/>
  <c r="AH40" i="7"/>
  <c r="AH39" i="7"/>
  <c r="AH38" i="7"/>
  <c r="AH37" i="7"/>
  <c r="AH36" i="7"/>
  <c r="AH35" i="7"/>
  <c r="AH34" i="7"/>
  <c r="AH33" i="7"/>
  <c r="AH32" i="7"/>
  <c r="AH30" i="7"/>
  <c r="AH29" i="7"/>
  <c r="AH28" i="7"/>
  <c r="AH27" i="7"/>
  <c r="AH26" i="7"/>
  <c r="AH25" i="7"/>
  <c r="AH24" i="7"/>
  <c r="AH23" i="7"/>
  <c r="AH22" i="7"/>
  <c r="AH21" i="7"/>
  <c r="AH20" i="7"/>
  <c r="AH19" i="7"/>
  <c r="AH18" i="7"/>
  <c r="DM69" i="5"/>
  <c r="DL69" i="5"/>
  <c r="DK69" i="5"/>
  <c r="DJ69" i="5"/>
  <c r="DI69" i="5"/>
  <c r="DH69" i="5"/>
  <c r="DG69" i="5"/>
  <c r="DE69" i="5"/>
  <c r="DD69" i="5"/>
  <c r="DC69" i="5"/>
  <c r="DB69" i="5"/>
  <c r="DA69" i="5"/>
  <c r="CZ69" i="5"/>
  <c r="CY69" i="5"/>
  <c r="CW69" i="5"/>
  <c r="CV69" i="5"/>
  <c r="CU69" i="5"/>
  <c r="CT69" i="5"/>
  <c r="CS69" i="5"/>
  <c r="CR69" i="5"/>
  <c r="CQ69" i="5"/>
  <c r="CO69" i="5"/>
  <c r="CN69" i="5"/>
  <c r="CM69" i="5"/>
  <c r="CL69" i="5"/>
  <c r="CK69" i="5"/>
  <c r="CJ69" i="5"/>
  <c r="CI69" i="5"/>
  <c r="CG69" i="5"/>
  <c r="CF69" i="5"/>
  <c r="CE69" i="5"/>
  <c r="CD69" i="5"/>
  <c r="CC69" i="5"/>
  <c r="CB69" i="5"/>
  <c r="CA69" i="5"/>
  <c r="BY69" i="5"/>
  <c r="BX69" i="5"/>
  <c r="BW69" i="5"/>
  <c r="BV69" i="5"/>
  <c r="BU69" i="5"/>
  <c r="BT69" i="5"/>
  <c r="BS69" i="5"/>
  <c r="BQ69" i="5"/>
  <c r="BP69" i="5"/>
  <c r="BO69" i="5"/>
  <c r="BN69" i="5"/>
  <c r="BM69" i="5"/>
  <c r="BL69" i="5"/>
  <c r="BK69" i="5"/>
  <c r="BI69" i="5"/>
  <c r="BH69" i="5"/>
  <c r="BG69" i="5"/>
  <c r="BF69" i="5"/>
  <c r="BE69" i="5"/>
  <c r="BD69" i="5"/>
  <c r="BC69" i="5"/>
  <c r="BA69" i="5"/>
  <c r="AZ69" i="5"/>
  <c r="AY69" i="5"/>
  <c r="AX69" i="5"/>
  <c r="AW69" i="5"/>
  <c r="AV69" i="5"/>
  <c r="AU69" i="5"/>
  <c r="AS69" i="5"/>
  <c r="AR69" i="5"/>
  <c r="AQ69" i="5"/>
  <c r="AP69" i="5"/>
  <c r="AO69" i="5"/>
  <c r="AN69" i="5"/>
  <c r="AM69" i="5"/>
  <c r="DM68" i="5"/>
  <c r="DL68" i="5"/>
  <c r="DK68" i="5"/>
  <c r="DJ68" i="5"/>
  <c r="DI68" i="5"/>
  <c r="DH68" i="5"/>
  <c r="DG68" i="5"/>
  <c r="DE68" i="5"/>
  <c r="DD68" i="5"/>
  <c r="DC68" i="5"/>
  <c r="DB68" i="5"/>
  <c r="DA68" i="5"/>
  <c r="CZ68" i="5"/>
  <c r="CY68" i="5"/>
  <c r="CW68" i="5"/>
  <c r="CV68" i="5"/>
  <c r="CU68" i="5"/>
  <c r="CT68" i="5"/>
  <c r="CS68" i="5"/>
  <c r="CR68" i="5"/>
  <c r="CQ68" i="5"/>
  <c r="CO68" i="5"/>
  <c r="CN68" i="5"/>
  <c r="CM68" i="5"/>
  <c r="CL68" i="5"/>
  <c r="CK68" i="5"/>
  <c r="CJ68" i="5"/>
  <c r="CI68" i="5"/>
  <c r="CG68" i="5"/>
  <c r="CF68" i="5"/>
  <c r="CE68" i="5"/>
  <c r="CD68" i="5"/>
  <c r="CC68" i="5"/>
  <c r="CB68" i="5"/>
  <c r="CA68" i="5"/>
  <c r="BY68" i="5"/>
  <c r="BX68" i="5"/>
  <c r="BW68" i="5"/>
  <c r="BV68" i="5"/>
  <c r="BU68" i="5"/>
  <c r="BT68" i="5"/>
  <c r="BS68" i="5"/>
  <c r="BQ68" i="5"/>
  <c r="BP68" i="5"/>
  <c r="BO68" i="5"/>
  <c r="BN68" i="5"/>
  <c r="BM68" i="5"/>
  <c r="BL68" i="5"/>
  <c r="BK68" i="5"/>
  <c r="BI68" i="5"/>
  <c r="BH68" i="5"/>
  <c r="BG68" i="5"/>
  <c r="BF68" i="5"/>
  <c r="BE68" i="5"/>
  <c r="BD68" i="5"/>
  <c r="BC68" i="5"/>
  <c r="BA68" i="5"/>
  <c r="AZ68" i="5"/>
  <c r="AY68" i="5"/>
  <c r="AX68" i="5"/>
  <c r="AW68" i="5"/>
  <c r="AV68" i="5"/>
  <c r="AU68" i="5"/>
  <c r="AS68" i="5"/>
  <c r="AR68" i="5"/>
  <c r="AQ68" i="5"/>
  <c r="AP68" i="5"/>
  <c r="AO68" i="5"/>
  <c r="AN68" i="5"/>
  <c r="AM68" i="5"/>
  <c r="DM67" i="5"/>
  <c r="DL67" i="5"/>
  <c r="DK67" i="5"/>
  <c r="DJ67" i="5"/>
  <c r="DI67" i="5"/>
  <c r="DH67" i="5"/>
  <c r="DG67" i="5"/>
  <c r="DE67" i="5"/>
  <c r="DD67" i="5"/>
  <c r="DC67" i="5"/>
  <c r="DB67" i="5"/>
  <c r="DA67" i="5"/>
  <c r="CZ67" i="5"/>
  <c r="CY67" i="5"/>
  <c r="CW67" i="5"/>
  <c r="CV67" i="5"/>
  <c r="CU67" i="5"/>
  <c r="CT67" i="5"/>
  <c r="CS67" i="5"/>
  <c r="CR67" i="5"/>
  <c r="CQ67" i="5"/>
  <c r="CO67" i="5"/>
  <c r="CN67" i="5"/>
  <c r="CM67" i="5"/>
  <c r="CL67" i="5"/>
  <c r="CK67" i="5"/>
  <c r="CJ67" i="5"/>
  <c r="CI67" i="5"/>
  <c r="CG67" i="5"/>
  <c r="CF67" i="5"/>
  <c r="CE67" i="5"/>
  <c r="CD67" i="5"/>
  <c r="CC67" i="5"/>
  <c r="CB67" i="5"/>
  <c r="CA67" i="5"/>
  <c r="BY67" i="5"/>
  <c r="BX67" i="5"/>
  <c r="BW67" i="5"/>
  <c r="BV67" i="5"/>
  <c r="BU67" i="5"/>
  <c r="BT67" i="5"/>
  <c r="BS67" i="5"/>
  <c r="BQ67" i="5"/>
  <c r="BP67" i="5"/>
  <c r="BO67" i="5"/>
  <c r="BN67" i="5"/>
  <c r="BM67" i="5"/>
  <c r="BL67" i="5"/>
  <c r="BK67" i="5"/>
  <c r="BI67" i="5"/>
  <c r="BH67" i="5"/>
  <c r="BG67" i="5"/>
  <c r="BF67" i="5"/>
  <c r="BE67" i="5"/>
  <c r="BD67" i="5"/>
  <c r="BC67" i="5"/>
  <c r="BA67" i="5"/>
  <c r="AZ67" i="5"/>
  <c r="AY67" i="5"/>
  <c r="AX67" i="5"/>
  <c r="AW67" i="5"/>
  <c r="AV67" i="5"/>
  <c r="AU67" i="5"/>
  <c r="AS67" i="5"/>
  <c r="AQ67" i="5"/>
  <c r="AP67" i="5"/>
  <c r="AO67" i="5"/>
  <c r="AN67" i="5"/>
  <c r="AM67" i="5"/>
  <c r="DM66" i="5"/>
  <c r="DL66" i="5"/>
  <c r="DK66" i="5"/>
  <c r="DJ66" i="5"/>
  <c r="DI66" i="5"/>
  <c r="DH66" i="5"/>
  <c r="DG66" i="5"/>
  <c r="DE66" i="5"/>
  <c r="DD66" i="5"/>
  <c r="DC66" i="5"/>
  <c r="DB66" i="5"/>
  <c r="DA66" i="5"/>
  <c r="CZ66" i="5"/>
  <c r="CY66" i="5"/>
  <c r="CW66" i="5"/>
  <c r="CV66" i="5"/>
  <c r="CU66" i="5"/>
  <c r="CT66" i="5"/>
  <c r="CS66" i="5"/>
  <c r="CR66" i="5"/>
  <c r="CQ66" i="5"/>
  <c r="CO66" i="5"/>
  <c r="CN66" i="5"/>
  <c r="CM66" i="5"/>
  <c r="CL66" i="5"/>
  <c r="CK66" i="5"/>
  <c r="CJ66" i="5"/>
  <c r="CI66" i="5"/>
  <c r="CG66" i="5"/>
  <c r="CF66" i="5"/>
  <c r="CE66" i="5"/>
  <c r="CD66" i="5"/>
  <c r="CC66" i="5"/>
  <c r="CB66" i="5"/>
  <c r="CA66" i="5"/>
  <c r="BY66" i="5"/>
  <c r="BX66" i="5"/>
  <c r="BW66" i="5"/>
  <c r="BV66" i="5"/>
  <c r="BU66" i="5"/>
  <c r="BT66" i="5"/>
  <c r="BS66" i="5"/>
  <c r="BQ66" i="5"/>
  <c r="BP66" i="5"/>
  <c r="BO66" i="5"/>
  <c r="BN66" i="5"/>
  <c r="BM66" i="5"/>
  <c r="BL66" i="5"/>
  <c r="BK66" i="5"/>
  <c r="BI66" i="5"/>
  <c r="BH66" i="5"/>
  <c r="BG66" i="5"/>
  <c r="BF66" i="5"/>
  <c r="BE66" i="5"/>
  <c r="BD66" i="5"/>
  <c r="BC66" i="5"/>
  <c r="BA66" i="5"/>
  <c r="AZ66" i="5"/>
  <c r="AY66" i="5"/>
  <c r="AX66" i="5"/>
  <c r="AW66" i="5"/>
  <c r="AV66" i="5"/>
  <c r="AU66" i="5"/>
  <c r="AS66" i="5"/>
  <c r="AQ66" i="5"/>
  <c r="AP66" i="5"/>
  <c r="AO66" i="5"/>
  <c r="AN66" i="5"/>
  <c r="AM66" i="5"/>
  <c r="DM65" i="5"/>
  <c r="DL65" i="5"/>
  <c r="DK65" i="5"/>
  <c r="DJ65" i="5"/>
  <c r="DI65" i="5"/>
  <c r="DH65" i="5"/>
  <c r="DG65" i="5"/>
  <c r="DE65" i="5"/>
  <c r="DD65" i="5"/>
  <c r="DC65" i="5"/>
  <c r="DB65" i="5"/>
  <c r="DA65" i="5"/>
  <c r="CZ65" i="5"/>
  <c r="CY65" i="5"/>
  <c r="CW65" i="5"/>
  <c r="CV65" i="5"/>
  <c r="CU65" i="5"/>
  <c r="CT65" i="5"/>
  <c r="CS65" i="5"/>
  <c r="CR65" i="5"/>
  <c r="CQ65" i="5"/>
  <c r="CO65" i="5"/>
  <c r="CN65" i="5"/>
  <c r="CM65" i="5"/>
  <c r="CL65" i="5"/>
  <c r="CK65" i="5"/>
  <c r="CJ65" i="5"/>
  <c r="CI65" i="5"/>
  <c r="CG65" i="5"/>
  <c r="CF65" i="5"/>
  <c r="CE65" i="5"/>
  <c r="CD65" i="5"/>
  <c r="CC65" i="5"/>
  <c r="CB65" i="5"/>
  <c r="CA65" i="5"/>
  <c r="BY65" i="5"/>
  <c r="BX65" i="5"/>
  <c r="BW65" i="5"/>
  <c r="BV65" i="5"/>
  <c r="BU65" i="5"/>
  <c r="BT65" i="5"/>
  <c r="BS65" i="5"/>
  <c r="BQ65" i="5"/>
  <c r="BP65" i="5"/>
  <c r="BO65" i="5"/>
  <c r="BN65" i="5"/>
  <c r="BM65" i="5"/>
  <c r="BL65" i="5"/>
  <c r="BK65" i="5"/>
  <c r="BI65" i="5"/>
  <c r="BH65" i="5"/>
  <c r="BG65" i="5"/>
  <c r="BF65" i="5"/>
  <c r="BE65" i="5"/>
  <c r="BD65" i="5"/>
  <c r="BC65" i="5"/>
  <c r="BA65" i="5"/>
  <c r="AZ65" i="5"/>
  <c r="AY65" i="5"/>
  <c r="AX65" i="5"/>
  <c r="AW65" i="5"/>
  <c r="AV65" i="5"/>
  <c r="AU65" i="5"/>
  <c r="AQ65" i="5"/>
  <c r="AP65" i="5"/>
  <c r="AO65" i="5"/>
  <c r="AN65" i="5"/>
  <c r="AM65" i="5"/>
  <c r="DM64" i="5"/>
  <c r="DL64" i="5"/>
  <c r="DK64" i="5"/>
  <c r="DJ64" i="5"/>
  <c r="DI64" i="5"/>
  <c r="DH64" i="5"/>
  <c r="DG64" i="5"/>
  <c r="DE64" i="5"/>
  <c r="DD64" i="5"/>
  <c r="DC64" i="5"/>
  <c r="DB64" i="5"/>
  <c r="DA64" i="5"/>
  <c r="CZ64" i="5"/>
  <c r="CY64" i="5"/>
  <c r="CW64" i="5"/>
  <c r="CV64" i="5"/>
  <c r="CU64" i="5"/>
  <c r="CT64" i="5"/>
  <c r="CS64" i="5"/>
  <c r="CR64" i="5"/>
  <c r="CQ64" i="5"/>
  <c r="CO64" i="5"/>
  <c r="CN64" i="5"/>
  <c r="CM64" i="5"/>
  <c r="CL64" i="5"/>
  <c r="CK64" i="5"/>
  <c r="CJ64" i="5"/>
  <c r="CI64" i="5"/>
  <c r="CG64" i="5"/>
  <c r="CF64" i="5"/>
  <c r="CE64" i="5"/>
  <c r="CD64" i="5"/>
  <c r="CC64" i="5"/>
  <c r="CB64" i="5"/>
  <c r="CA64" i="5"/>
  <c r="BY64" i="5"/>
  <c r="BX64" i="5"/>
  <c r="BW64" i="5"/>
  <c r="BV64" i="5"/>
  <c r="BU64" i="5"/>
  <c r="BT64" i="5"/>
  <c r="BS64" i="5"/>
  <c r="BQ64" i="5"/>
  <c r="BP64" i="5"/>
  <c r="BO64" i="5"/>
  <c r="BN64" i="5"/>
  <c r="BM64" i="5"/>
  <c r="BL64" i="5"/>
  <c r="BK64" i="5"/>
  <c r="BI64" i="5"/>
  <c r="BH64" i="5"/>
  <c r="BG64" i="5"/>
  <c r="BF64" i="5"/>
  <c r="BE64" i="5"/>
  <c r="BD64" i="5"/>
  <c r="BC64" i="5"/>
  <c r="BA64" i="5"/>
  <c r="AZ64" i="5"/>
  <c r="AY64" i="5"/>
  <c r="AX64" i="5"/>
  <c r="AW64" i="5"/>
  <c r="AV64" i="5"/>
  <c r="AU64" i="5"/>
  <c r="AS64" i="5"/>
  <c r="AQ64" i="5"/>
  <c r="AP64" i="5"/>
  <c r="AO64" i="5"/>
  <c r="AN64" i="5"/>
  <c r="AM64" i="5"/>
  <c r="DM63" i="5"/>
  <c r="DL63" i="5"/>
  <c r="DK63" i="5"/>
  <c r="DJ63" i="5"/>
  <c r="DI63" i="5"/>
  <c r="DH63" i="5"/>
  <c r="DG63" i="5"/>
  <c r="DE63" i="5"/>
  <c r="DD63" i="5"/>
  <c r="DC63" i="5"/>
  <c r="DB63" i="5"/>
  <c r="DA63" i="5"/>
  <c r="CZ63" i="5"/>
  <c r="CY63" i="5"/>
  <c r="CW63" i="5"/>
  <c r="CV63" i="5"/>
  <c r="CU63" i="5"/>
  <c r="CT63" i="5"/>
  <c r="CS63" i="5"/>
  <c r="CR63" i="5"/>
  <c r="CQ63" i="5"/>
  <c r="CO63" i="5"/>
  <c r="CN63" i="5"/>
  <c r="CM63" i="5"/>
  <c r="CL63" i="5"/>
  <c r="CK63" i="5"/>
  <c r="CJ63" i="5"/>
  <c r="CI63" i="5"/>
  <c r="CG63" i="5"/>
  <c r="CF63" i="5"/>
  <c r="CE63" i="5"/>
  <c r="CD63" i="5"/>
  <c r="CC63" i="5"/>
  <c r="CB63" i="5"/>
  <c r="CA63" i="5"/>
  <c r="BY63" i="5"/>
  <c r="BX63" i="5"/>
  <c r="BW63" i="5"/>
  <c r="BV63" i="5"/>
  <c r="BU63" i="5"/>
  <c r="BT63" i="5"/>
  <c r="BS63" i="5"/>
  <c r="BQ63" i="5"/>
  <c r="BP63" i="5"/>
  <c r="BO63" i="5"/>
  <c r="BN63" i="5"/>
  <c r="BM63" i="5"/>
  <c r="BL63" i="5"/>
  <c r="BK63" i="5"/>
  <c r="BI63" i="5"/>
  <c r="BH63" i="5"/>
  <c r="BG63" i="5"/>
  <c r="BF63" i="5"/>
  <c r="BE63" i="5"/>
  <c r="BD63" i="5"/>
  <c r="BC63" i="5"/>
  <c r="BA63" i="5"/>
  <c r="AZ63" i="5"/>
  <c r="AY63" i="5"/>
  <c r="AX63" i="5"/>
  <c r="AW63" i="5"/>
  <c r="AV63" i="5"/>
  <c r="AU63" i="5"/>
  <c r="AS63" i="5"/>
  <c r="AQ63" i="5"/>
  <c r="AP63" i="5"/>
  <c r="AO63" i="5"/>
  <c r="AN63" i="5"/>
  <c r="AM63" i="5"/>
  <c r="AR43" i="5"/>
  <c r="AR42" i="5"/>
  <c r="AR41" i="5"/>
  <c r="AR40" i="5"/>
  <c r="AR39" i="5"/>
  <c r="AR38" i="5"/>
  <c r="AR37" i="5"/>
  <c r="AR36" i="5"/>
  <c r="AR35" i="5"/>
  <c r="AR34" i="5"/>
  <c r="AR33" i="5"/>
  <c r="AR32" i="5"/>
  <c r="AR31" i="5"/>
  <c r="AR29" i="5"/>
  <c r="AR28" i="5"/>
  <c r="AR27" i="5"/>
  <c r="AR26" i="5"/>
  <c r="AR25" i="5"/>
  <c r="AR24" i="5"/>
  <c r="AR23" i="5"/>
  <c r="AR22" i="5"/>
  <c r="AR21" i="5"/>
  <c r="AR20" i="5"/>
  <c r="AR19" i="5"/>
  <c r="AR18" i="5"/>
  <c r="AR17" i="5"/>
  <c r="EF80" i="4"/>
  <c r="EE80" i="4"/>
  <c r="ED80" i="4"/>
  <c r="EC80" i="4"/>
  <c r="EB80" i="4"/>
  <c r="EF79" i="4"/>
  <c r="EE79" i="4"/>
  <c r="ED79" i="4"/>
  <c r="EC79" i="4"/>
  <c r="EB79" i="4"/>
  <c r="EF78" i="4"/>
  <c r="EE78" i="4"/>
  <c r="ED78" i="4"/>
  <c r="EC78" i="4"/>
  <c r="EB78" i="4"/>
  <c r="EF77" i="4"/>
  <c r="EE77" i="4"/>
  <c r="ED77" i="4"/>
  <c r="EC77" i="4"/>
  <c r="EB77" i="4"/>
  <c r="EF76" i="4"/>
  <c r="EE76" i="4"/>
  <c r="ED76" i="4"/>
  <c r="EC76" i="4"/>
  <c r="EB76" i="4"/>
  <c r="EF75" i="4"/>
  <c r="EE75" i="4"/>
  <c r="ED75" i="4"/>
  <c r="EC75" i="4"/>
  <c r="EB75" i="4"/>
  <c r="EF74" i="4"/>
  <c r="EE74" i="4"/>
  <c r="ED74" i="4"/>
  <c r="EC74" i="4"/>
  <c r="EB74" i="4"/>
  <c r="DZ80" i="4"/>
  <c r="DY80" i="4"/>
  <c r="DX80" i="4"/>
  <c r="DW80" i="4"/>
  <c r="DV80" i="4"/>
  <c r="DU80" i="4"/>
  <c r="DT80" i="4"/>
  <c r="DZ79" i="4"/>
  <c r="DY79" i="4"/>
  <c r="DX79" i="4"/>
  <c r="DW79" i="4"/>
  <c r="DV79" i="4"/>
  <c r="DU79" i="4"/>
  <c r="DT79" i="4"/>
  <c r="DZ78" i="4"/>
  <c r="DY78" i="4"/>
  <c r="DX78" i="4"/>
  <c r="DW78" i="4"/>
  <c r="DV78" i="4"/>
  <c r="DU78" i="4"/>
  <c r="DT78" i="4"/>
  <c r="DZ77" i="4"/>
  <c r="DY77" i="4"/>
  <c r="DX77" i="4"/>
  <c r="DW77" i="4"/>
  <c r="DV77" i="4"/>
  <c r="DU77" i="4"/>
  <c r="DT77" i="4"/>
  <c r="DZ76" i="4"/>
  <c r="DY76" i="4"/>
  <c r="DX76" i="4"/>
  <c r="DW76" i="4"/>
  <c r="DV76" i="4"/>
  <c r="DU76" i="4"/>
  <c r="DT76" i="4"/>
  <c r="DZ75" i="4"/>
  <c r="DY75" i="4"/>
  <c r="DX75" i="4"/>
  <c r="DW75" i="4"/>
  <c r="DV75" i="4"/>
  <c r="DU75" i="4"/>
  <c r="DT75" i="4"/>
  <c r="DZ74" i="4"/>
  <c r="DY74" i="4"/>
  <c r="DX74" i="4"/>
  <c r="DW74" i="4"/>
  <c r="DV74" i="4"/>
  <c r="DU74" i="4"/>
  <c r="DT74" i="4"/>
  <c r="DR80" i="4"/>
  <c r="DQ80" i="4"/>
  <c r="DP80" i="4"/>
  <c r="DO80" i="4"/>
  <c r="DN80" i="4"/>
  <c r="DM80" i="4"/>
  <c r="DL80" i="4"/>
  <c r="DR79" i="4"/>
  <c r="DQ79" i="4"/>
  <c r="DP79" i="4"/>
  <c r="DO79" i="4"/>
  <c r="DN79" i="4"/>
  <c r="DM79" i="4"/>
  <c r="DL79" i="4"/>
  <c r="DR78" i="4"/>
  <c r="DQ78" i="4"/>
  <c r="DP78" i="4"/>
  <c r="DO78" i="4"/>
  <c r="DN78" i="4"/>
  <c r="DM78" i="4"/>
  <c r="DL78" i="4"/>
  <c r="DR77" i="4"/>
  <c r="DQ77" i="4"/>
  <c r="DP77" i="4"/>
  <c r="DO77" i="4"/>
  <c r="DN77" i="4"/>
  <c r="DM77" i="4"/>
  <c r="DL77" i="4"/>
  <c r="DR76" i="4"/>
  <c r="DQ76" i="4"/>
  <c r="DP76" i="4"/>
  <c r="DO76" i="4"/>
  <c r="DN76" i="4"/>
  <c r="DM76" i="4"/>
  <c r="DL76" i="4"/>
  <c r="DR75" i="4"/>
  <c r="DQ75" i="4"/>
  <c r="DP75" i="4"/>
  <c r="DO75" i="4"/>
  <c r="DN75" i="4"/>
  <c r="DM75" i="4"/>
  <c r="DL75" i="4"/>
  <c r="DR74" i="4"/>
  <c r="DQ74" i="4"/>
  <c r="DP74" i="4"/>
  <c r="DO74" i="4"/>
  <c r="DN74" i="4"/>
  <c r="DM74" i="4"/>
  <c r="DL74" i="4"/>
  <c r="DJ80" i="4"/>
  <c r="DI80" i="4"/>
  <c r="DH80" i="4"/>
  <c r="DG80" i="4"/>
  <c r="DF80" i="4"/>
  <c r="DE80" i="4"/>
  <c r="DD80" i="4"/>
  <c r="DJ79" i="4"/>
  <c r="DI79" i="4"/>
  <c r="DH79" i="4"/>
  <c r="DG79" i="4"/>
  <c r="DF79" i="4"/>
  <c r="DE79" i="4"/>
  <c r="DD79" i="4"/>
  <c r="DJ78" i="4"/>
  <c r="DI78" i="4"/>
  <c r="DH78" i="4"/>
  <c r="DG78" i="4"/>
  <c r="DF78" i="4"/>
  <c r="DE78" i="4"/>
  <c r="DD78" i="4"/>
  <c r="DJ77" i="4"/>
  <c r="DI77" i="4"/>
  <c r="DH77" i="4"/>
  <c r="DG77" i="4"/>
  <c r="DF77" i="4"/>
  <c r="DE77" i="4"/>
  <c r="DD77" i="4"/>
  <c r="DJ76" i="4"/>
  <c r="DI76" i="4"/>
  <c r="DH76" i="4"/>
  <c r="DG76" i="4"/>
  <c r="DF76" i="4"/>
  <c r="DE76" i="4"/>
  <c r="DD76" i="4"/>
  <c r="DJ75" i="4"/>
  <c r="DI75" i="4"/>
  <c r="DH75" i="4"/>
  <c r="DG75" i="4"/>
  <c r="DF75" i="4"/>
  <c r="DE75" i="4"/>
  <c r="DD75" i="4"/>
  <c r="DJ74" i="4"/>
  <c r="DI74" i="4"/>
  <c r="DH74" i="4"/>
  <c r="DG74" i="4"/>
  <c r="DF74" i="4"/>
  <c r="DE74" i="4"/>
  <c r="DD74" i="4"/>
  <c r="DB80" i="4"/>
  <c r="DA80" i="4"/>
  <c r="CZ80" i="4"/>
  <c r="CY80" i="4"/>
  <c r="CX80" i="4"/>
  <c r="CW80" i="4"/>
  <c r="CV80" i="4"/>
  <c r="DB79" i="4"/>
  <c r="DA79" i="4"/>
  <c r="CZ79" i="4"/>
  <c r="CY79" i="4"/>
  <c r="CX79" i="4"/>
  <c r="CW79" i="4"/>
  <c r="CV79" i="4"/>
  <c r="DB78" i="4"/>
  <c r="DA78" i="4"/>
  <c r="CZ78" i="4"/>
  <c r="CY78" i="4"/>
  <c r="CX78" i="4"/>
  <c r="CW78" i="4"/>
  <c r="CV78" i="4"/>
  <c r="DB77" i="4"/>
  <c r="DA77" i="4"/>
  <c r="CZ77" i="4"/>
  <c r="CY77" i="4"/>
  <c r="CX77" i="4"/>
  <c r="CW77" i="4"/>
  <c r="CV77" i="4"/>
  <c r="DB76" i="4"/>
  <c r="DA76" i="4"/>
  <c r="CZ76" i="4"/>
  <c r="CY76" i="4"/>
  <c r="CX76" i="4"/>
  <c r="CW76" i="4"/>
  <c r="CV76" i="4"/>
  <c r="DB75" i="4"/>
  <c r="DA75" i="4"/>
  <c r="CZ75" i="4"/>
  <c r="CY75" i="4"/>
  <c r="CX75" i="4"/>
  <c r="CW75" i="4"/>
  <c r="CV75" i="4"/>
  <c r="DB74" i="4"/>
  <c r="DA74" i="4"/>
  <c r="CZ74" i="4"/>
  <c r="CY74" i="4"/>
  <c r="CX74" i="4"/>
  <c r="CW74" i="4"/>
  <c r="CV74" i="4"/>
  <c r="CT80" i="4"/>
  <c r="CS80" i="4"/>
  <c r="CR80" i="4"/>
  <c r="CQ80" i="4"/>
  <c r="CP80" i="4"/>
  <c r="CO80" i="4"/>
  <c r="CN80" i="4"/>
  <c r="CT79" i="4"/>
  <c r="CS79" i="4"/>
  <c r="CR79" i="4"/>
  <c r="CQ79" i="4"/>
  <c r="CP79" i="4"/>
  <c r="CO79" i="4"/>
  <c r="CN79" i="4"/>
  <c r="CT78" i="4"/>
  <c r="CS78" i="4"/>
  <c r="CR78" i="4"/>
  <c r="CQ78" i="4"/>
  <c r="CP78" i="4"/>
  <c r="CO78" i="4"/>
  <c r="CN78" i="4"/>
  <c r="CT77" i="4"/>
  <c r="CS77" i="4"/>
  <c r="CR77" i="4"/>
  <c r="CQ77" i="4"/>
  <c r="CP77" i="4"/>
  <c r="CO77" i="4"/>
  <c r="CN77" i="4"/>
  <c r="CT76" i="4"/>
  <c r="CS76" i="4"/>
  <c r="CR76" i="4"/>
  <c r="CQ76" i="4"/>
  <c r="CP76" i="4"/>
  <c r="CO76" i="4"/>
  <c r="CN76" i="4"/>
  <c r="CT75" i="4"/>
  <c r="CS75" i="4"/>
  <c r="CR75" i="4"/>
  <c r="CQ75" i="4"/>
  <c r="CP75" i="4"/>
  <c r="CO75" i="4"/>
  <c r="CN75" i="4"/>
  <c r="CT74" i="4"/>
  <c r="CS74" i="4"/>
  <c r="CR74" i="4"/>
  <c r="CQ74" i="4"/>
  <c r="CP74" i="4"/>
  <c r="CO74" i="4"/>
  <c r="CN74" i="4"/>
  <c r="CL80" i="4"/>
  <c r="CK80" i="4"/>
  <c r="CJ80" i="4"/>
  <c r="CI80" i="4"/>
  <c r="CH80" i="4"/>
  <c r="CG80" i="4"/>
  <c r="CF80" i="4"/>
  <c r="CL79" i="4"/>
  <c r="CK79" i="4"/>
  <c r="CJ79" i="4"/>
  <c r="CI79" i="4"/>
  <c r="CH79" i="4"/>
  <c r="CG79" i="4"/>
  <c r="CF79" i="4"/>
  <c r="CL78" i="4"/>
  <c r="CK78" i="4"/>
  <c r="CJ78" i="4"/>
  <c r="CI78" i="4"/>
  <c r="CH78" i="4"/>
  <c r="CG78" i="4"/>
  <c r="CF78" i="4"/>
  <c r="CL77" i="4"/>
  <c r="CK77" i="4"/>
  <c r="CJ77" i="4"/>
  <c r="CI77" i="4"/>
  <c r="CH77" i="4"/>
  <c r="CG77" i="4"/>
  <c r="CF77" i="4"/>
  <c r="CL76" i="4"/>
  <c r="CK76" i="4"/>
  <c r="CJ76" i="4"/>
  <c r="CI76" i="4"/>
  <c r="CH76" i="4"/>
  <c r="CG76" i="4"/>
  <c r="CF76" i="4"/>
  <c r="CL75" i="4"/>
  <c r="CK75" i="4"/>
  <c r="CJ75" i="4"/>
  <c r="CI75" i="4"/>
  <c r="CH75" i="4"/>
  <c r="CG75" i="4"/>
  <c r="CF75" i="4"/>
  <c r="CL74" i="4"/>
  <c r="CK74" i="4"/>
  <c r="CJ74" i="4"/>
  <c r="CI74" i="4"/>
  <c r="CH74" i="4"/>
  <c r="CG74" i="4"/>
  <c r="CF74" i="4"/>
  <c r="CD80" i="4"/>
  <c r="CC80" i="4"/>
  <c r="CB80" i="4"/>
  <c r="CA80" i="4"/>
  <c r="BZ80" i="4"/>
  <c r="BY80" i="4"/>
  <c r="BX80" i="4"/>
  <c r="CD79" i="4"/>
  <c r="CC79" i="4"/>
  <c r="CB79" i="4"/>
  <c r="CA79" i="4"/>
  <c r="BZ79" i="4"/>
  <c r="BY79" i="4"/>
  <c r="BX79" i="4"/>
  <c r="CD78" i="4"/>
  <c r="CC78" i="4"/>
  <c r="CB78" i="4"/>
  <c r="CA78" i="4"/>
  <c r="BZ78" i="4"/>
  <c r="BY78" i="4"/>
  <c r="BX78" i="4"/>
  <c r="CD77" i="4"/>
  <c r="CC77" i="4"/>
  <c r="CB77" i="4"/>
  <c r="CA77" i="4"/>
  <c r="BZ77" i="4"/>
  <c r="BY77" i="4"/>
  <c r="BX77" i="4"/>
  <c r="CD76" i="4"/>
  <c r="CC76" i="4"/>
  <c r="CB76" i="4"/>
  <c r="CA76" i="4"/>
  <c r="BZ76" i="4"/>
  <c r="BY76" i="4"/>
  <c r="BX76" i="4"/>
  <c r="CD75" i="4"/>
  <c r="CC75" i="4"/>
  <c r="CB75" i="4"/>
  <c r="CA75" i="4"/>
  <c r="BZ75" i="4"/>
  <c r="BY75" i="4"/>
  <c r="BX75" i="4"/>
  <c r="CD74" i="4"/>
  <c r="CC74" i="4"/>
  <c r="CB74" i="4"/>
  <c r="CA74" i="4"/>
  <c r="BZ74" i="4"/>
  <c r="BY74" i="4"/>
  <c r="BX74" i="4"/>
  <c r="BV80" i="4"/>
  <c r="BU80" i="4"/>
  <c r="BT80" i="4"/>
  <c r="BS80" i="4"/>
  <c r="BR80" i="4"/>
  <c r="BQ80" i="4"/>
  <c r="BP80" i="4"/>
  <c r="BV79" i="4"/>
  <c r="BU79" i="4"/>
  <c r="BT79" i="4"/>
  <c r="BS79" i="4"/>
  <c r="BR79" i="4"/>
  <c r="BQ79" i="4"/>
  <c r="BP79" i="4"/>
  <c r="BV78" i="4"/>
  <c r="BU78" i="4"/>
  <c r="BT78" i="4"/>
  <c r="BS78" i="4"/>
  <c r="BR78" i="4"/>
  <c r="BQ78" i="4"/>
  <c r="BP78" i="4"/>
  <c r="BV77" i="4"/>
  <c r="BU77" i="4"/>
  <c r="BT77" i="4"/>
  <c r="BS77" i="4"/>
  <c r="BR77" i="4"/>
  <c r="BQ77" i="4"/>
  <c r="BP77" i="4"/>
  <c r="BV76" i="4"/>
  <c r="BU76" i="4"/>
  <c r="BT76" i="4"/>
  <c r="BS76" i="4"/>
  <c r="BR76" i="4"/>
  <c r="BQ76" i="4"/>
  <c r="BP76" i="4"/>
  <c r="BV75" i="4"/>
  <c r="BU75" i="4"/>
  <c r="BT75" i="4"/>
  <c r="BS75" i="4"/>
  <c r="BR75" i="4"/>
  <c r="BQ75" i="4"/>
  <c r="BP75" i="4"/>
  <c r="BV74" i="4"/>
  <c r="BU74" i="4"/>
  <c r="BT74" i="4"/>
  <c r="BS74" i="4"/>
  <c r="BR74" i="4"/>
  <c r="BQ74" i="4"/>
  <c r="BP74" i="4"/>
  <c r="BN80" i="4"/>
  <c r="BM80" i="4"/>
  <c r="BL80" i="4"/>
  <c r="BK80" i="4"/>
  <c r="BJ80" i="4"/>
  <c r="BI80" i="4"/>
  <c r="BH80" i="4"/>
  <c r="BN79" i="4"/>
  <c r="BM79" i="4"/>
  <c r="BL79" i="4"/>
  <c r="BK79" i="4"/>
  <c r="BJ79" i="4"/>
  <c r="BI79" i="4"/>
  <c r="BH79" i="4"/>
  <c r="BN78" i="4"/>
  <c r="BM78" i="4"/>
  <c r="BL78" i="4"/>
  <c r="BK78" i="4"/>
  <c r="BJ78" i="4"/>
  <c r="BI78" i="4"/>
  <c r="BH78" i="4"/>
  <c r="BN77" i="4"/>
  <c r="BM77" i="4"/>
  <c r="BL77" i="4"/>
  <c r="BK77" i="4"/>
  <c r="BJ77" i="4"/>
  <c r="BI77" i="4"/>
  <c r="BH77" i="4"/>
  <c r="BN76" i="4"/>
  <c r="BM76" i="4"/>
  <c r="BL76" i="4"/>
  <c r="BK76" i="4"/>
  <c r="BJ76" i="4"/>
  <c r="BI76" i="4"/>
  <c r="BH76" i="4"/>
  <c r="BN75" i="4"/>
  <c r="BM75" i="4"/>
  <c r="BL75" i="4"/>
  <c r="BK75" i="4"/>
  <c r="BJ75" i="4"/>
  <c r="BI75" i="4"/>
  <c r="BH75" i="4"/>
  <c r="BN74" i="4"/>
  <c r="BM74" i="4"/>
  <c r="BL74" i="4"/>
  <c r="BK74" i="4"/>
  <c r="BJ74" i="4"/>
  <c r="BI74" i="4"/>
  <c r="BH74" i="4"/>
  <c r="BF80" i="4"/>
  <c r="BE80" i="4"/>
  <c r="BD80" i="4"/>
  <c r="BC80" i="4"/>
  <c r="BB80" i="4"/>
  <c r="BA80" i="4"/>
  <c r="AZ80" i="4"/>
  <c r="BF79" i="4"/>
  <c r="BE79" i="4"/>
  <c r="BD79" i="4"/>
  <c r="BC79" i="4"/>
  <c r="BB79" i="4"/>
  <c r="BA79" i="4"/>
  <c r="AZ79" i="4"/>
  <c r="BF78" i="4"/>
  <c r="BE78" i="4"/>
  <c r="BD78" i="4"/>
  <c r="BC78" i="4"/>
  <c r="BB78" i="4"/>
  <c r="BA78" i="4"/>
  <c r="AZ78" i="4"/>
  <c r="BF77" i="4"/>
  <c r="BE77" i="4"/>
  <c r="BD77" i="4"/>
  <c r="BC77" i="4"/>
  <c r="BB77" i="4"/>
  <c r="BA77" i="4"/>
  <c r="AZ77" i="4"/>
  <c r="BF76" i="4"/>
  <c r="BE76" i="4"/>
  <c r="BD76" i="4"/>
  <c r="BC76" i="4"/>
  <c r="BB76" i="4"/>
  <c r="BA76" i="4"/>
  <c r="AZ76" i="4"/>
  <c r="BF75" i="4"/>
  <c r="BE75" i="4"/>
  <c r="BD75" i="4"/>
  <c r="BC75" i="4"/>
  <c r="BB75" i="4"/>
  <c r="BA75" i="4"/>
  <c r="AZ75" i="4"/>
  <c r="BF74" i="4"/>
  <c r="BE74" i="4"/>
  <c r="BD74" i="4"/>
  <c r="BC74" i="4"/>
  <c r="BB74" i="4"/>
  <c r="BA74" i="4"/>
  <c r="AZ74" i="4"/>
  <c r="AX80" i="4"/>
  <c r="AW80" i="4"/>
  <c r="AV80" i="4"/>
  <c r="AU80" i="4"/>
  <c r="AT80" i="4"/>
  <c r="AS80" i="4"/>
  <c r="AR80" i="4"/>
  <c r="AX79" i="4"/>
  <c r="AW79" i="4"/>
  <c r="AV79" i="4"/>
  <c r="AU79" i="4"/>
  <c r="AT79" i="4"/>
  <c r="AS79" i="4"/>
  <c r="AR79" i="4"/>
  <c r="AX78" i="4"/>
  <c r="AW78" i="4"/>
  <c r="AV78" i="4"/>
  <c r="AU78" i="4"/>
  <c r="AT78" i="4"/>
  <c r="AS78" i="4"/>
  <c r="AR78" i="4"/>
  <c r="AX77" i="4"/>
  <c r="AW77" i="4"/>
  <c r="AV77" i="4"/>
  <c r="AU77" i="4"/>
  <c r="AT77" i="4"/>
  <c r="AS77" i="4"/>
  <c r="AR77" i="4"/>
  <c r="AX76" i="4"/>
  <c r="AW76" i="4"/>
  <c r="AV76" i="4"/>
  <c r="AU76" i="4"/>
  <c r="AT76" i="4"/>
  <c r="AS76" i="4"/>
  <c r="AR76" i="4"/>
  <c r="AX75" i="4"/>
  <c r="AW75" i="4"/>
  <c r="AV75" i="4"/>
  <c r="AU75" i="4"/>
  <c r="AT75" i="4"/>
  <c r="AS75" i="4"/>
  <c r="AR75" i="4"/>
  <c r="AX74" i="4"/>
  <c r="AW74" i="4"/>
  <c r="AV74" i="4"/>
  <c r="AU74" i="4"/>
  <c r="AT74" i="4"/>
  <c r="AS74" i="4"/>
  <c r="AR74" i="4"/>
  <c r="AP80" i="4"/>
  <c r="AO80" i="4"/>
  <c r="AN80" i="4"/>
  <c r="AM80" i="4"/>
  <c r="AL80" i="4"/>
  <c r="AK80" i="4"/>
  <c r="AJ80" i="4"/>
  <c r="AP79" i="4"/>
  <c r="AO79" i="4"/>
  <c r="AN79" i="4"/>
  <c r="AM79" i="4"/>
  <c r="AL79" i="4"/>
  <c r="AK79" i="4"/>
  <c r="AJ79" i="4"/>
  <c r="AP78" i="4"/>
  <c r="AO78" i="4"/>
  <c r="AN78" i="4"/>
  <c r="AM78" i="4"/>
  <c r="AL78" i="4"/>
  <c r="AK78" i="4"/>
  <c r="AJ78" i="4"/>
  <c r="AP77" i="4"/>
  <c r="AO77" i="4"/>
  <c r="AN77" i="4"/>
  <c r="AM77" i="4"/>
  <c r="AL77" i="4"/>
  <c r="AK77" i="4"/>
  <c r="AJ77" i="4"/>
  <c r="AP76" i="4"/>
  <c r="AO76" i="4"/>
  <c r="AN76" i="4"/>
  <c r="AM76" i="4"/>
  <c r="AL76" i="4"/>
  <c r="AK76" i="4"/>
  <c r="AJ76" i="4"/>
  <c r="AP75" i="4"/>
  <c r="AO75" i="4"/>
  <c r="AN75" i="4"/>
  <c r="AM75" i="4"/>
  <c r="AL75" i="4"/>
  <c r="AK75" i="4"/>
  <c r="AJ75" i="4"/>
  <c r="AP74" i="4"/>
  <c r="AO74" i="4"/>
  <c r="AN74" i="4"/>
  <c r="AM74" i="4"/>
  <c r="AL74" i="4"/>
  <c r="AK74" i="4"/>
  <c r="AJ74" i="4"/>
  <c r="AH80" i="4"/>
  <c r="AG80" i="4"/>
  <c r="AF80" i="4"/>
  <c r="AE80" i="4"/>
  <c r="AD80" i="4"/>
  <c r="AC80" i="4"/>
  <c r="AB80" i="4"/>
  <c r="AH79" i="4"/>
  <c r="AG79" i="4"/>
  <c r="AF79" i="4"/>
  <c r="AE79" i="4"/>
  <c r="AD79" i="4"/>
  <c r="AC79" i="4"/>
  <c r="AB79" i="4"/>
  <c r="AH78" i="4"/>
  <c r="AG78" i="4"/>
  <c r="AF78" i="4"/>
  <c r="AE78" i="4"/>
  <c r="AD78" i="4"/>
  <c r="AC78" i="4"/>
  <c r="AB78" i="4"/>
  <c r="AH77" i="4"/>
  <c r="AG77" i="4"/>
  <c r="AF77" i="4"/>
  <c r="AE77" i="4"/>
  <c r="AD77" i="4"/>
  <c r="AC77" i="4"/>
  <c r="AB77" i="4"/>
  <c r="AH76" i="4"/>
  <c r="AG76" i="4"/>
  <c r="AF76" i="4"/>
  <c r="AE76" i="4"/>
  <c r="AD76" i="4"/>
  <c r="AC76" i="4"/>
  <c r="AB76" i="4"/>
  <c r="AH75" i="4"/>
  <c r="AG75" i="4"/>
  <c r="AF75" i="4"/>
  <c r="AE75" i="4"/>
  <c r="AD75" i="4"/>
  <c r="AC75" i="4"/>
  <c r="AB75" i="4"/>
  <c r="AH74" i="4"/>
  <c r="AG74" i="4"/>
  <c r="AF74" i="4"/>
  <c r="AE74" i="4"/>
  <c r="AD74" i="4"/>
  <c r="AC74" i="4"/>
  <c r="AB74" i="4"/>
  <c r="Z80" i="4"/>
  <c r="Y80" i="4"/>
  <c r="X80" i="4"/>
  <c r="W80" i="4"/>
  <c r="V80" i="4"/>
  <c r="U80" i="4"/>
  <c r="T80" i="4"/>
  <c r="Z79" i="4"/>
  <c r="Y79" i="4"/>
  <c r="X79" i="4"/>
  <c r="W79" i="4"/>
  <c r="V79" i="4"/>
  <c r="U79" i="4"/>
  <c r="T79" i="4"/>
  <c r="Z78" i="4"/>
  <c r="Y78" i="4"/>
  <c r="X78" i="4"/>
  <c r="W78" i="4"/>
  <c r="V78" i="4"/>
  <c r="U78" i="4"/>
  <c r="T78" i="4"/>
  <c r="Z77" i="4"/>
  <c r="Y77" i="4"/>
  <c r="X77" i="4"/>
  <c r="W77" i="4"/>
  <c r="V77" i="4"/>
  <c r="U77" i="4"/>
  <c r="T77" i="4"/>
  <c r="Z76" i="4"/>
  <c r="Y76" i="4"/>
  <c r="X76" i="4"/>
  <c r="W76" i="4"/>
  <c r="V76" i="4"/>
  <c r="U76" i="4"/>
  <c r="T76" i="4"/>
  <c r="Z75" i="4"/>
  <c r="Y75" i="4"/>
  <c r="X75" i="4"/>
  <c r="W75" i="4"/>
  <c r="V75" i="4"/>
  <c r="U75" i="4"/>
  <c r="T75" i="4"/>
  <c r="Z74" i="4"/>
  <c r="Y74" i="4"/>
  <c r="X74" i="4"/>
  <c r="W74" i="4"/>
  <c r="V74" i="4"/>
  <c r="U74" i="4"/>
  <c r="T74" i="4"/>
  <c r="R80" i="4"/>
  <c r="Q80" i="4"/>
  <c r="P80" i="4"/>
  <c r="O80" i="4"/>
  <c r="N80" i="4"/>
  <c r="M80" i="4"/>
  <c r="R79" i="4"/>
  <c r="Q79" i="4"/>
  <c r="P79" i="4"/>
  <c r="O79" i="4"/>
  <c r="N79" i="4"/>
  <c r="M79" i="4"/>
  <c r="R78" i="4"/>
  <c r="P78" i="4"/>
  <c r="O78" i="4"/>
  <c r="N78" i="4"/>
  <c r="M78" i="4"/>
  <c r="P77" i="4"/>
  <c r="O77" i="4"/>
  <c r="N77" i="4"/>
  <c r="M77" i="4"/>
  <c r="R76" i="4"/>
  <c r="P76" i="4"/>
  <c r="O76" i="4"/>
  <c r="N76" i="4"/>
  <c r="M76" i="4"/>
  <c r="R75" i="4"/>
  <c r="P75" i="4"/>
  <c r="O75" i="4"/>
  <c r="N75" i="4"/>
  <c r="M75" i="4"/>
  <c r="R74" i="4"/>
  <c r="P74" i="4"/>
  <c r="O74" i="4"/>
  <c r="N74" i="4"/>
  <c r="M74" i="4"/>
  <c r="L80" i="4"/>
  <c r="L79" i="4"/>
  <c r="L78" i="4"/>
  <c r="L77" i="4"/>
  <c r="L76" i="4"/>
  <c r="L75" i="4"/>
  <c r="L74" i="4"/>
  <c r="Q54" i="4"/>
  <c r="Q52" i="4"/>
  <c r="Q51" i="4"/>
  <c r="Q50" i="4"/>
  <c r="Q49" i="4"/>
  <c r="Q48" i="4"/>
  <c r="Q47" i="4"/>
  <c r="Q46" i="4"/>
  <c r="Q45" i="4"/>
  <c r="Q44" i="4"/>
  <c r="Q43" i="4"/>
  <c r="Q42" i="4"/>
  <c r="Q41" i="4"/>
  <c r="Q40" i="4"/>
  <c r="Q38" i="4"/>
  <c r="Q37" i="4"/>
  <c r="Q36" i="4"/>
  <c r="Q35" i="4"/>
  <c r="Q34" i="4"/>
  <c r="Q33" i="4"/>
  <c r="Q32" i="4"/>
  <c r="Q30" i="4"/>
  <c r="Q29" i="4"/>
  <c r="Q28" i="4"/>
  <c r="Q27" i="4"/>
  <c r="Q26" i="4"/>
  <c r="Q25" i="4"/>
  <c r="FE55" i="2"/>
  <c r="FD55" i="2"/>
  <c r="FC55" i="2"/>
  <c r="FB55" i="2"/>
  <c r="FA55" i="2"/>
  <c r="FE54" i="2"/>
  <c r="FD54" i="2"/>
  <c r="FC54" i="2"/>
  <c r="FB54" i="2"/>
  <c r="FA54" i="2"/>
  <c r="FE52" i="2"/>
  <c r="FD52" i="2"/>
  <c r="FC52" i="2"/>
  <c r="FB52" i="2"/>
  <c r="FA52" i="2"/>
  <c r="FE51" i="2"/>
  <c r="FD51" i="2"/>
  <c r="FC51" i="2"/>
  <c r="FB51" i="2"/>
  <c r="FA51" i="2"/>
  <c r="EY55" i="2"/>
  <c r="EX55" i="2"/>
  <c r="EW55" i="2"/>
  <c r="EV55" i="2"/>
  <c r="EU55" i="2"/>
  <c r="ET55" i="2"/>
  <c r="ES55" i="2"/>
  <c r="EY54" i="2"/>
  <c r="EX54" i="2"/>
  <c r="EW54" i="2"/>
  <c r="EV54" i="2"/>
  <c r="EU54" i="2"/>
  <c r="ET54" i="2"/>
  <c r="ES54" i="2"/>
  <c r="EY52" i="2"/>
  <c r="EX52" i="2"/>
  <c r="EW52" i="2"/>
  <c r="EV52" i="2"/>
  <c r="EU52" i="2"/>
  <c r="ET52" i="2"/>
  <c r="ES52" i="2"/>
  <c r="EY51" i="2"/>
  <c r="EX51" i="2"/>
  <c r="EW51" i="2"/>
  <c r="EV51" i="2"/>
  <c r="EU51" i="2"/>
  <c r="ET51" i="2"/>
  <c r="ES51" i="2"/>
  <c r="EQ55" i="2"/>
  <c r="EP55" i="2"/>
  <c r="EO55" i="2"/>
  <c r="EN55" i="2"/>
  <c r="EM55" i="2"/>
  <c r="EL55" i="2"/>
  <c r="EK55" i="2"/>
  <c r="EQ54" i="2"/>
  <c r="EP54" i="2"/>
  <c r="EO54" i="2"/>
  <c r="EN54" i="2"/>
  <c r="EM54" i="2"/>
  <c r="EL54" i="2"/>
  <c r="EK54" i="2"/>
  <c r="EQ52" i="2"/>
  <c r="EP52" i="2"/>
  <c r="EO52" i="2"/>
  <c r="EN52" i="2"/>
  <c r="EM52" i="2"/>
  <c r="EL52" i="2"/>
  <c r="EK52" i="2"/>
  <c r="EQ51" i="2"/>
  <c r="EP51" i="2"/>
  <c r="EO51" i="2"/>
  <c r="EN51" i="2"/>
  <c r="EM51" i="2"/>
  <c r="EL51" i="2"/>
  <c r="EK51" i="2"/>
  <c r="EI55" i="2"/>
  <c r="EH55" i="2"/>
  <c r="EG55" i="2"/>
  <c r="EF55" i="2"/>
  <c r="EE55" i="2"/>
  <c r="ED55" i="2"/>
  <c r="EC55" i="2"/>
  <c r="EI54" i="2"/>
  <c r="EH54" i="2"/>
  <c r="EG54" i="2"/>
  <c r="EF54" i="2"/>
  <c r="EE54" i="2"/>
  <c r="ED54" i="2"/>
  <c r="EC54" i="2"/>
  <c r="EI52" i="2"/>
  <c r="EH52" i="2"/>
  <c r="EG52" i="2"/>
  <c r="EF52" i="2"/>
  <c r="EE52" i="2"/>
  <c r="ED52" i="2"/>
  <c r="EC52" i="2"/>
  <c r="EI51" i="2"/>
  <c r="EH51" i="2"/>
  <c r="EG51" i="2"/>
  <c r="EF51" i="2"/>
  <c r="EE51" i="2"/>
  <c r="ED51" i="2"/>
  <c r="EC51" i="2"/>
  <c r="EA55" i="2"/>
  <c r="DZ55" i="2"/>
  <c r="DY55" i="2"/>
  <c r="DX55" i="2"/>
  <c r="DW55" i="2"/>
  <c r="DV55" i="2"/>
  <c r="DU55" i="2"/>
  <c r="EA54" i="2"/>
  <c r="DZ54" i="2"/>
  <c r="DY54" i="2"/>
  <c r="DX54" i="2"/>
  <c r="DW54" i="2"/>
  <c r="DV54" i="2"/>
  <c r="DU54" i="2"/>
  <c r="EA52" i="2"/>
  <c r="DZ52" i="2"/>
  <c r="DY52" i="2"/>
  <c r="DX52" i="2"/>
  <c r="DW52" i="2"/>
  <c r="DV52" i="2"/>
  <c r="DU52" i="2"/>
  <c r="EA51" i="2"/>
  <c r="DZ51" i="2"/>
  <c r="DY51" i="2"/>
  <c r="DX51" i="2"/>
  <c r="DW51" i="2"/>
  <c r="DV51" i="2"/>
  <c r="DU51" i="2"/>
  <c r="DS55" i="2"/>
  <c r="DR55" i="2"/>
  <c r="DQ55" i="2"/>
  <c r="DP55" i="2"/>
  <c r="DO55" i="2"/>
  <c r="DN55" i="2"/>
  <c r="DM55" i="2"/>
  <c r="DS54" i="2"/>
  <c r="DR54" i="2"/>
  <c r="DQ54" i="2"/>
  <c r="DP54" i="2"/>
  <c r="DO54" i="2"/>
  <c r="DN54" i="2"/>
  <c r="DM54" i="2"/>
  <c r="DS52" i="2"/>
  <c r="DR52" i="2"/>
  <c r="DQ52" i="2"/>
  <c r="DP52" i="2"/>
  <c r="DO52" i="2"/>
  <c r="DN52" i="2"/>
  <c r="DM52" i="2"/>
  <c r="DS51" i="2"/>
  <c r="DR51" i="2"/>
  <c r="DQ51" i="2"/>
  <c r="DP51" i="2"/>
  <c r="DO51" i="2"/>
  <c r="DN51" i="2"/>
  <c r="DM51" i="2"/>
  <c r="DK55" i="2"/>
  <c r="DJ55" i="2"/>
  <c r="DI55" i="2"/>
  <c r="DH55" i="2"/>
  <c r="DG55" i="2"/>
  <c r="DF55" i="2"/>
  <c r="DE55" i="2"/>
  <c r="DK54" i="2"/>
  <c r="DJ54" i="2"/>
  <c r="DI54" i="2"/>
  <c r="DH54" i="2"/>
  <c r="DG54" i="2"/>
  <c r="DF54" i="2"/>
  <c r="DE54" i="2"/>
  <c r="DK52" i="2"/>
  <c r="DJ52" i="2"/>
  <c r="DI52" i="2"/>
  <c r="DH52" i="2"/>
  <c r="DG52" i="2"/>
  <c r="DF52" i="2"/>
  <c r="DE52" i="2"/>
  <c r="DK51" i="2"/>
  <c r="DJ51" i="2"/>
  <c r="DI51" i="2"/>
  <c r="DH51" i="2"/>
  <c r="DG51" i="2"/>
  <c r="DF51" i="2"/>
  <c r="DE51" i="2"/>
  <c r="DC55" i="2"/>
  <c r="DB55" i="2"/>
  <c r="DA55" i="2"/>
  <c r="CZ55" i="2"/>
  <c r="CY55" i="2"/>
  <c r="CX55" i="2"/>
  <c r="CW55" i="2"/>
  <c r="DC54" i="2"/>
  <c r="DB54" i="2"/>
  <c r="DA54" i="2"/>
  <c r="CZ54" i="2"/>
  <c r="CY54" i="2"/>
  <c r="CX54" i="2"/>
  <c r="CW54" i="2"/>
  <c r="DC52" i="2"/>
  <c r="DB52" i="2"/>
  <c r="DA52" i="2"/>
  <c r="CZ52" i="2"/>
  <c r="CY52" i="2"/>
  <c r="CX52" i="2"/>
  <c r="CW52" i="2"/>
  <c r="DC51" i="2"/>
  <c r="DB51" i="2"/>
  <c r="DA51" i="2"/>
  <c r="CZ51" i="2"/>
  <c r="CY51" i="2"/>
  <c r="CX51" i="2"/>
  <c r="CW51" i="2"/>
  <c r="CU55" i="2"/>
  <c r="CT55" i="2"/>
  <c r="CS55" i="2"/>
  <c r="CR55" i="2"/>
  <c r="CQ55" i="2"/>
  <c r="CP55" i="2"/>
  <c r="CO55" i="2"/>
  <c r="CU54" i="2"/>
  <c r="CT54" i="2"/>
  <c r="CS54" i="2"/>
  <c r="CR54" i="2"/>
  <c r="CQ54" i="2"/>
  <c r="CP54" i="2"/>
  <c r="CO54" i="2"/>
  <c r="CU52" i="2"/>
  <c r="CT52" i="2"/>
  <c r="CS52" i="2"/>
  <c r="CR52" i="2"/>
  <c r="CQ52" i="2"/>
  <c r="CP52" i="2"/>
  <c r="CO52" i="2"/>
  <c r="CU51" i="2"/>
  <c r="CT51" i="2"/>
  <c r="CS51" i="2"/>
  <c r="CR51" i="2"/>
  <c r="CQ51" i="2"/>
  <c r="CP51" i="2"/>
  <c r="CO51" i="2"/>
  <c r="CM55" i="2"/>
  <c r="CL55" i="2"/>
  <c r="CK55" i="2"/>
  <c r="CJ55" i="2"/>
  <c r="CI55" i="2"/>
  <c r="CH55" i="2"/>
  <c r="CG55" i="2"/>
  <c r="CM54" i="2"/>
  <c r="CL54" i="2"/>
  <c r="CK54" i="2"/>
  <c r="CJ54" i="2"/>
  <c r="CI54" i="2"/>
  <c r="CH54" i="2"/>
  <c r="CG54" i="2"/>
  <c r="CM52" i="2"/>
  <c r="CL52" i="2"/>
  <c r="CK52" i="2"/>
  <c r="CJ52" i="2"/>
  <c r="CI52" i="2"/>
  <c r="CH52" i="2"/>
  <c r="CG52" i="2"/>
  <c r="CM51" i="2"/>
  <c r="CL51" i="2"/>
  <c r="CK51" i="2"/>
  <c r="CJ51" i="2"/>
  <c r="CI51" i="2"/>
  <c r="CH51" i="2"/>
  <c r="CG51" i="2"/>
  <c r="CE55" i="2"/>
  <c r="CD55" i="2"/>
  <c r="CC55" i="2"/>
  <c r="CB55" i="2"/>
  <c r="CA55" i="2"/>
  <c r="BZ55" i="2"/>
  <c r="BY55" i="2"/>
  <c r="CE54" i="2"/>
  <c r="CD54" i="2"/>
  <c r="CC54" i="2"/>
  <c r="CB54" i="2"/>
  <c r="CA54" i="2"/>
  <c r="BZ54" i="2"/>
  <c r="BY54" i="2"/>
  <c r="CE52" i="2"/>
  <c r="CD52" i="2"/>
  <c r="CC52" i="2"/>
  <c r="CB52" i="2"/>
  <c r="CA52" i="2"/>
  <c r="BZ52" i="2"/>
  <c r="BY52" i="2"/>
  <c r="CE51" i="2"/>
  <c r="CD51" i="2"/>
  <c r="CC51" i="2"/>
  <c r="CB51" i="2"/>
  <c r="CA51" i="2"/>
  <c r="BZ51" i="2"/>
  <c r="BY51" i="2"/>
  <c r="BW55" i="2"/>
  <c r="BV55" i="2"/>
  <c r="BU55" i="2"/>
  <c r="BT55" i="2"/>
  <c r="BS55" i="2"/>
  <c r="BR55" i="2"/>
  <c r="BQ55" i="2"/>
  <c r="BW54" i="2"/>
  <c r="BV54" i="2"/>
  <c r="BU54" i="2"/>
  <c r="BT54" i="2"/>
  <c r="BS54" i="2"/>
  <c r="BR54" i="2"/>
  <c r="BQ54" i="2"/>
  <c r="BW52" i="2"/>
  <c r="BV52" i="2"/>
  <c r="BU52" i="2"/>
  <c r="BT52" i="2"/>
  <c r="BS52" i="2"/>
  <c r="BR52" i="2"/>
  <c r="BQ52" i="2"/>
  <c r="BW51" i="2"/>
  <c r="BV51" i="2"/>
  <c r="BU51" i="2"/>
  <c r="BT51" i="2"/>
  <c r="BS51" i="2"/>
  <c r="BR51" i="2"/>
  <c r="BQ51" i="2"/>
  <c r="BO55" i="2"/>
  <c r="BN55" i="2"/>
  <c r="BM55" i="2"/>
  <c r="BL55" i="2"/>
  <c r="BK55" i="2"/>
  <c r="BJ55" i="2"/>
  <c r="BI55" i="2"/>
  <c r="BO54" i="2"/>
  <c r="BN54" i="2"/>
  <c r="BM54" i="2"/>
  <c r="BL54" i="2"/>
  <c r="BK54" i="2"/>
  <c r="BJ54" i="2"/>
  <c r="BI54" i="2"/>
  <c r="BO52" i="2"/>
  <c r="BN52" i="2"/>
  <c r="BM52" i="2"/>
  <c r="BL52" i="2"/>
  <c r="BK52" i="2"/>
  <c r="BJ52" i="2"/>
  <c r="BI52" i="2"/>
  <c r="BO51" i="2"/>
  <c r="BN51" i="2"/>
  <c r="BM51" i="2"/>
  <c r="BL51" i="2"/>
  <c r="BK51" i="2"/>
  <c r="BJ51" i="2"/>
  <c r="BI51" i="2"/>
  <c r="BG55" i="2"/>
  <c r="BF55" i="2"/>
  <c r="BE55" i="2"/>
  <c r="BD55" i="2"/>
  <c r="BC55" i="2"/>
  <c r="BB55" i="2"/>
  <c r="BA55" i="2"/>
  <c r="BG54" i="2"/>
  <c r="BF54" i="2"/>
  <c r="BE54" i="2"/>
  <c r="BD54" i="2"/>
  <c r="BC54" i="2"/>
  <c r="BB54" i="2"/>
  <c r="BA54" i="2"/>
  <c r="BG52" i="2"/>
  <c r="BF52" i="2"/>
  <c r="BE52" i="2"/>
  <c r="BD52" i="2"/>
  <c r="BC52" i="2"/>
  <c r="BB52" i="2"/>
  <c r="BA52" i="2"/>
  <c r="BG51" i="2"/>
  <c r="BF51" i="2"/>
  <c r="BE51" i="2"/>
  <c r="BD51" i="2"/>
  <c r="BC51" i="2"/>
  <c r="BB51" i="2"/>
  <c r="BA51" i="2"/>
  <c r="AY55" i="2"/>
  <c r="AX55" i="2"/>
  <c r="AW55" i="2"/>
  <c r="AV55" i="2"/>
  <c r="AU55" i="2"/>
  <c r="AT55" i="2"/>
  <c r="AY54" i="2"/>
  <c r="AX54" i="2"/>
  <c r="AW54" i="2"/>
  <c r="AV54" i="2"/>
  <c r="AU54" i="2"/>
  <c r="AT54" i="2"/>
  <c r="AY52" i="2"/>
  <c r="AX52" i="2"/>
  <c r="AW52" i="2"/>
  <c r="AV52" i="2"/>
  <c r="AU52" i="2"/>
  <c r="AT52" i="2"/>
  <c r="AY51" i="2"/>
  <c r="AX51" i="2"/>
  <c r="AW51" i="2"/>
  <c r="AV51" i="2"/>
  <c r="AU51" i="2"/>
  <c r="AT51" i="2"/>
  <c r="AS55" i="2"/>
  <c r="AS54" i="2"/>
  <c r="AS52" i="2"/>
  <c r="AS51" i="2"/>
  <c r="AQ55" i="2"/>
  <c r="AP55" i="2"/>
  <c r="AO55" i="2"/>
  <c r="AN55" i="2"/>
  <c r="AM55" i="2"/>
  <c r="AL55" i="2"/>
  <c r="AQ54" i="2"/>
  <c r="AP54" i="2"/>
  <c r="AO54" i="2"/>
  <c r="AN54" i="2"/>
  <c r="AM54" i="2"/>
  <c r="AL54" i="2"/>
  <c r="AQ52" i="2"/>
  <c r="AO52" i="2"/>
  <c r="AN52" i="2"/>
  <c r="AM52" i="2"/>
  <c r="AL52" i="2"/>
  <c r="AQ51" i="2"/>
  <c r="AO51" i="2"/>
  <c r="AN51" i="2"/>
  <c r="AM51" i="2"/>
  <c r="AL51" i="2"/>
  <c r="AP26" i="2"/>
  <c r="AP24" i="2"/>
  <c r="AP34" i="2"/>
  <c r="AP29" i="2"/>
  <c r="AP33" i="2"/>
  <c r="AP30" i="2"/>
  <c r="AP20" i="2"/>
  <c r="AP19" i="2"/>
  <c r="AP23" i="2"/>
  <c r="AP18" i="2"/>
  <c r="AP17" i="2"/>
  <c r="AP16" i="2"/>
  <c r="AP15" i="2"/>
  <c r="AP14" i="2"/>
  <c r="AP13" i="2"/>
  <c r="AP12" i="2"/>
  <c r="AP11" i="2"/>
  <c r="AP10" i="2"/>
  <c r="AK55" i="2"/>
  <c r="AK54" i="2"/>
  <c r="AK52" i="2"/>
  <c r="AK51" i="2"/>
  <c r="AR44" i="5" l="1"/>
  <c r="AR67" i="5" s="1"/>
  <c r="Q74" i="4"/>
  <c r="AH64" i="7"/>
  <c r="Q78" i="4"/>
  <c r="Q77" i="4"/>
  <c r="Q76" i="4"/>
  <c r="Q75" i="4"/>
  <c r="AP52" i="2"/>
  <c r="AP51" i="2"/>
  <c r="Z62" i="47"/>
  <c r="AR64" i="33"/>
  <c r="AR63" i="33"/>
  <c r="AH68" i="7"/>
  <c r="AH67" i="7"/>
  <c r="AH65" i="7"/>
  <c r="AR65" i="37"/>
  <c r="AR64" i="37"/>
  <c r="AR64" i="11"/>
  <c r="AR66" i="50"/>
  <c r="AR65" i="50"/>
  <c r="AR63" i="50"/>
  <c r="AR64" i="50"/>
  <c r="AR67" i="50"/>
  <c r="Z61" i="47"/>
  <c r="Z65" i="47"/>
  <c r="Z64" i="47"/>
  <c r="Z63" i="47"/>
  <c r="AR67" i="37"/>
  <c r="AR68" i="37"/>
  <c r="AR66" i="37"/>
  <c r="AR67" i="33"/>
  <c r="AR66" i="33"/>
  <c r="AR67" i="11"/>
  <c r="AR65" i="11"/>
  <c r="AR66" i="11"/>
  <c r="AR63" i="11"/>
  <c r="AR68" i="10"/>
  <c r="AR67" i="10"/>
  <c r="AR66" i="10"/>
  <c r="AR64" i="10"/>
  <c r="AR65" i="10"/>
  <c r="AH66" i="7"/>
  <c r="AR64" i="5"/>
  <c r="AR66" i="5"/>
  <c r="AR65" i="5"/>
  <c r="AR65" i="33"/>
  <c r="AR63" i="5"/>
  <c r="H70" i="8" l="1"/>
  <c r="D71" i="8"/>
  <c r="D70" i="8"/>
  <c r="D69" i="8"/>
  <c r="H71" i="8"/>
  <c r="F71" i="8"/>
  <c r="E71" i="8"/>
  <c r="F70" i="8"/>
  <c r="E70" i="8"/>
  <c r="F69" i="8"/>
  <c r="E69" i="8"/>
  <c r="H23" i="8"/>
  <c r="G23" i="8" s="1"/>
  <c r="G33" i="8"/>
  <c r="G32" i="8"/>
  <c r="G31" i="8"/>
  <c r="G30" i="8"/>
  <c r="G29" i="8"/>
  <c r="G28" i="8"/>
  <c r="G27" i="8"/>
  <c r="G26" i="8"/>
  <c r="G25" i="8"/>
  <c r="G24" i="8"/>
  <c r="G22" i="8"/>
  <c r="G21" i="8"/>
  <c r="G69" i="8" s="1"/>
  <c r="B13" i="8"/>
  <c r="G71" i="8" l="1"/>
  <c r="G70" i="8"/>
  <c r="H69" i="8"/>
  <c r="G36" i="6" l="1"/>
  <c r="I35" i="6"/>
  <c r="G35" i="6"/>
  <c r="I34" i="6"/>
  <c r="G34" i="6"/>
  <c r="I33" i="6"/>
  <c r="G33" i="6"/>
  <c r="I32" i="6"/>
  <c r="G32" i="6"/>
  <c r="I31" i="6"/>
  <c r="G31" i="6"/>
  <c r="I30" i="6"/>
  <c r="G30" i="6"/>
  <c r="I29" i="6"/>
  <c r="G29" i="6"/>
  <c r="G28" i="6"/>
  <c r="I27" i="6"/>
  <c r="G27" i="6"/>
  <c r="I26" i="6"/>
  <c r="I25" i="6"/>
  <c r="G25" i="6"/>
  <c r="G24" i="6"/>
  <c r="I28" i="6" l="1"/>
  <c r="I36" i="6"/>
  <c r="I24" i="6"/>
  <c r="F11" i="20" l="1"/>
  <c r="F72" i="6"/>
  <c r="F26" i="6"/>
  <c r="G26" i="6" s="1"/>
  <c r="F71" i="6" l="1"/>
  <c r="E12" i="20"/>
  <c r="E11" i="20"/>
  <c r="D72" i="6" l="1"/>
  <c r="F70" i="6"/>
  <c r="E53" i="6"/>
  <c r="E52" i="6"/>
  <c r="E51" i="6"/>
  <c r="E50" i="6"/>
  <c r="E49" i="6"/>
  <c r="E48" i="6"/>
  <c r="E47" i="6"/>
  <c r="E46" i="6"/>
  <c r="E45" i="6"/>
  <c r="E44" i="6"/>
  <c r="E43" i="6"/>
  <c r="E42" i="6"/>
  <c r="E41" i="6"/>
  <c r="E40" i="6"/>
  <c r="E39" i="6"/>
  <c r="E38" i="6"/>
  <c r="E36" i="6"/>
  <c r="E35" i="6"/>
  <c r="E34" i="6"/>
  <c r="E33" i="6"/>
  <c r="E32" i="6"/>
  <c r="E31" i="6"/>
  <c r="E30" i="6"/>
  <c r="E29" i="6"/>
  <c r="E28" i="6"/>
  <c r="E27" i="6"/>
  <c r="E25" i="6"/>
  <c r="E24" i="6"/>
  <c r="E72" i="6" l="1"/>
  <c r="D23" i="9"/>
  <c r="D68" i="9" s="1"/>
  <c r="D69" i="9"/>
  <c r="B11" i="9"/>
  <c r="H11" i="20"/>
  <c r="D67" i="9" l="1"/>
  <c r="D26" i="6"/>
  <c r="D71" i="6" l="1"/>
  <c r="D70" i="6"/>
  <c r="E26" i="6"/>
  <c r="E71" i="6" l="1"/>
  <c r="E70" i="6"/>
  <c r="K61" i="9" l="1"/>
  <c r="Q64" i="6"/>
  <c r="K72" i="9" l="1"/>
  <c r="K50" i="9" l="1"/>
  <c r="K49" i="9"/>
  <c r="K48" i="9"/>
  <c r="K47" i="9"/>
  <c r="K46" i="9"/>
  <c r="K45" i="9"/>
  <c r="K44" i="9"/>
  <c r="K43" i="9"/>
  <c r="K42" i="9"/>
  <c r="K41" i="9"/>
  <c r="K40" i="9"/>
  <c r="K39" i="9"/>
  <c r="K38" i="9"/>
  <c r="K37" i="9"/>
  <c r="K36" i="9"/>
  <c r="K35" i="9"/>
  <c r="K33" i="9"/>
  <c r="K32" i="9"/>
  <c r="K31" i="9"/>
  <c r="K30" i="9"/>
  <c r="K29" i="9"/>
  <c r="K28" i="9"/>
  <c r="K27" i="9"/>
  <c r="K26" i="9"/>
  <c r="K25" i="9"/>
  <c r="K24" i="9"/>
  <c r="K22" i="9"/>
  <c r="K21" i="9"/>
  <c r="L73" i="9"/>
  <c r="K73" i="9"/>
  <c r="L72" i="9"/>
  <c r="L71" i="9"/>
  <c r="L70" i="9"/>
  <c r="L69" i="9"/>
  <c r="L68" i="9"/>
  <c r="L67" i="9"/>
  <c r="R72" i="6"/>
  <c r="R71" i="6"/>
  <c r="R70" i="6"/>
  <c r="Q53" i="6"/>
  <c r="Q52" i="6"/>
  <c r="Q51" i="6"/>
  <c r="Q50" i="6"/>
  <c r="Q49" i="6"/>
  <c r="Q48" i="6"/>
  <c r="Q47" i="6"/>
  <c r="Q46" i="6"/>
  <c r="Q45" i="6"/>
  <c r="Q44" i="6"/>
  <c r="Q43" i="6"/>
  <c r="Q42" i="6"/>
  <c r="Q41" i="6"/>
  <c r="Q40" i="6"/>
  <c r="Q39" i="6"/>
  <c r="Q38" i="6"/>
  <c r="Q36" i="6"/>
  <c r="Q35" i="6"/>
  <c r="Q34" i="6"/>
  <c r="Q33" i="6"/>
  <c r="Q32" i="6"/>
  <c r="Q31" i="6"/>
  <c r="Q30" i="6"/>
  <c r="Q29" i="6"/>
  <c r="Q28" i="6"/>
  <c r="Q27" i="6"/>
  <c r="Q25" i="6"/>
  <c r="Q24" i="6"/>
  <c r="T26" i="6"/>
  <c r="T70" i="6" s="1"/>
  <c r="T72" i="6"/>
  <c r="T71" i="6" l="1"/>
  <c r="K71" i="9"/>
  <c r="K70" i="9"/>
  <c r="K69" i="9"/>
  <c r="Q72" i="6"/>
  <c r="J69" i="9" l="1"/>
  <c r="I61" i="9"/>
  <c r="J23" i="9"/>
  <c r="J68" i="9" l="1"/>
  <c r="K23" i="9"/>
  <c r="K67" i="9" l="1"/>
  <c r="K68" i="9"/>
  <c r="O64" i="6" l="1"/>
  <c r="P26" i="6"/>
  <c r="Q26" i="6" s="1"/>
  <c r="Q70" i="6" l="1"/>
  <c r="Q71" i="6"/>
  <c r="J73" i="9" l="1"/>
  <c r="J72" i="9"/>
  <c r="J71" i="9"/>
  <c r="J70" i="9"/>
  <c r="J67" i="9"/>
  <c r="I73" i="9"/>
  <c r="I72" i="9"/>
  <c r="I50" i="9"/>
  <c r="I49" i="9"/>
  <c r="I48" i="9"/>
  <c r="I47" i="9"/>
  <c r="I46" i="9"/>
  <c r="I45" i="9"/>
  <c r="I44" i="9"/>
  <c r="I43" i="9"/>
  <c r="I42" i="9"/>
  <c r="I41" i="9"/>
  <c r="I40" i="9"/>
  <c r="I39" i="9"/>
  <c r="I38" i="9"/>
  <c r="I37" i="9"/>
  <c r="I36" i="9"/>
  <c r="I35" i="9"/>
  <c r="I33" i="9"/>
  <c r="I32" i="9"/>
  <c r="I31" i="9"/>
  <c r="I30" i="9"/>
  <c r="I29" i="9"/>
  <c r="I28" i="9"/>
  <c r="I27" i="9"/>
  <c r="I26" i="9"/>
  <c r="I25" i="9"/>
  <c r="I24" i="9"/>
  <c r="I23" i="9"/>
  <c r="I22" i="9"/>
  <c r="I21" i="9"/>
  <c r="P72" i="6"/>
  <c r="P71" i="6"/>
  <c r="P70" i="6"/>
  <c r="O53" i="6"/>
  <c r="O52" i="6"/>
  <c r="O51" i="6"/>
  <c r="O50" i="6"/>
  <c r="O49" i="6"/>
  <c r="O48" i="6"/>
  <c r="O47" i="6"/>
  <c r="O46" i="6"/>
  <c r="O45" i="6"/>
  <c r="O44" i="6"/>
  <c r="O43" i="6"/>
  <c r="O42" i="6"/>
  <c r="O41" i="6"/>
  <c r="O40" i="6"/>
  <c r="O39" i="6"/>
  <c r="O38" i="6"/>
  <c r="O36" i="6"/>
  <c r="O35" i="6"/>
  <c r="O34" i="6"/>
  <c r="O33" i="6"/>
  <c r="O32" i="6"/>
  <c r="O31" i="6"/>
  <c r="O30" i="6"/>
  <c r="O29" i="6"/>
  <c r="O28" i="6"/>
  <c r="O27" i="6"/>
  <c r="O26" i="6"/>
  <c r="O25" i="6"/>
  <c r="O24" i="6"/>
  <c r="O72" i="6" l="1"/>
  <c r="I69" i="9"/>
  <c r="I71" i="9"/>
  <c r="I70" i="9"/>
  <c r="I68" i="9"/>
  <c r="I67" i="9"/>
  <c r="O71" i="6"/>
  <c r="O70" i="6"/>
  <c r="AJ73" i="9"/>
  <c r="AI73" i="9"/>
  <c r="AH73" i="9"/>
  <c r="AG73" i="9"/>
  <c r="AF73" i="9"/>
  <c r="AE73" i="9"/>
  <c r="AD73" i="9"/>
  <c r="AJ72" i="9"/>
  <c r="AI72" i="9"/>
  <c r="AH72" i="9"/>
  <c r="AG72" i="9"/>
  <c r="AF72" i="9"/>
  <c r="AE72" i="9"/>
  <c r="AD72" i="9"/>
  <c r="AJ71" i="9"/>
  <c r="AI71" i="9"/>
  <c r="AH71" i="9"/>
  <c r="AG71" i="9"/>
  <c r="AF71" i="9"/>
  <c r="AE71" i="9"/>
  <c r="AD71" i="9"/>
  <c r="AJ70" i="9"/>
  <c r="AI70" i="9"/>
  <c r="AH70" i="9"/>
  <c r="AG70" i="9"/>
  <c r="AF70" i="9"/>
  <c r="AE70" i="9"/>
  <c r="AD70" i="9"/>
  <c r="AJ69" i="9"/>
  <c r="AI69" i="9"/>
  <c r="AH69" i="9"/>
  <c r="AG69" i="9"/>
  <c r="AF69" i="9"/>
  <c r="AE69" i="9"/>
  <c r="AD69" i="9"/>
  <c r="AJ68" i="9"/>
  <c r="AI68" i="9"/>
  <c r="AH68" i="9"/>
  <c r="AG68" i="9"/>
  <c r="AF68" i="9"/>
  <c r="AE68" i="9"/>
  <c r="AD68" i="9"/>
  <c r="AJ67" i="9"/>
  <c r="AI67" i="9"/>
  <c r="AH67" i="9"/>
  <c r="AG67" i="9"/>
  <c r="AF67" i="9"/>
  <c r="AE67" i="9"/>
  <c r="AD67" i="9"/>
  <c r="AB73" i="9"/>
  <c r="AA73" i="9"/>
  <c r="Z73" i="9"/>
  <c r="Y73" i="9"/>
  <c r="X73" i="9"/>
  <c r="W73" i="9"/>
  <c r="V73" i="9"/>
  <c r="AB72" i="9"/>
  <c r="AA72" i="9"/>
  <c r="Z72" i="9"/>
  <c r="Y72" i="9"/>
  <c r="X72" i="9"/>
  <c r="W72" i="9"/>
  <c r="V72" i="9"/>
  <c r="AB71" i="9"/>
  <c r="Z71" i="9"/>
  <c r="Y71" i="9"/>
  <c r="X71" i="9"/>
  <c r="V71" i="9"/>
  <c r="AB70" i="9"/>
  <c r="Z70" i="9"/>
  <c r="Y70" i="9"/>
  <c r="X70" i="9"/>
  <c r="V70" i="9"/>
  <c r="AB69" i="9"/>
  <c r="Z69" i="9"/>
  <c r="Y69" i="9"/>
  <c r="X69" i="9"/>
  <c r="V69" i="9"/>
  <c r="AB68" i="9"/>
  <c r="Z68" i="9"/>
  <c r="Y68" i="9"/>
  <c r="X68" i="9"/>
  <c r="V68" i="9"/>
  <c r="AB67" i="9"/>
  <c r="Z67" i="9"/>
  <c r="Y67" i="9"/>
  <c r="X67" i="9"/>
  <c r="V67" i="9"/>
  <c r="AX72" i="6"/>
  <c r="AW72" i="6"/>
  <c r="AV72" i="6"/>
  <c r="AU72" i="6"/>
  <c r="AT72" i="6"/>
  <c r="AS72" i="6"/>
  <c r="AR72" i="6"/>
  <c r="AX71" i="6"/>
  <c r="AW71" i="6"/>
  <c r="AV71" i="6"/>
  <c r="AU71" i="6"/>
  <c r="AT71" i="6"/>
  <c r="AS71" i="6"/>
  <c r="AR71" i="6"/>
  <c r="AX70" i="6"/>
  <c r="AW70" i="6"/>
  <c r="AV70" i="6"/>
  <c r="AU70" i="6"/>
  <c r="AT70" i="6"/>
  <c r="AS70" i="6"/>
  <c r="AR70" i="6"/>
  <c r="AP72" i="6"/>
  <c r="AO72" i="6"/>
  <c r="AN72" i="6"/>
  <c r="AM72" i="6"/>
  <c r="AL72" i="6"/>
  <c r="AK72" i="6"/>
  <c r="AJ72" i="6"/>
  <c r="AP71" i="6"/>
  <c r="AO71" i="6"/>
  <c r="AN71" i="6"/>
  <c r="AM71" i="6"/>
  <c r="AL71" i="6"/>
  <c r="AK71" i="6"/>
  <c r="AJ71" i="6"/>
  <c r="AP70" i="6"/>
  <c r="AO70" i="6"/>
  <c r="AN70" i="6"/>
  <c r="AM70" i="6"/>
  <c r="AL70" i="6"/>
  <c r="AK70" i="6"/>
  <c r="AJ70" i="6"/>
  <c r="AH72" i="6"/>
  <c r="AF72" i="6"/>
  <c r="AE72" i="6"/>
  <c r="AD72" i="6"/>
  <c r="AB72" i="6"/>
  <c r="AH71" i="6"/>
  <c r="AF71" i="6"/>
  <c r="AE71" i="6"/>
  <c r="AD71" i="6"/>
  <c r="AB71" i="6"/>
  <c r="AH70" i="6"/>
  <c r="AF70" i="6"/>
  <c r="AE70" i="6"/>
  <c r="AD70" i="6"/>
  <c r="AB70" i="6"/>
  <c r="G61" i="9"/>
  <c r="M64" i="6"/>
  <c r="G73" i="9" l="1"/>
  <c r="H69" i="9"/>
  <c r="H70" i="9"/>
  <c r="H68" i="9"/>
  <c r="N71" i="6"/>
  <c r="G50" i="9" l="1"/>
  <c r="G49" i="9"/>
  <c r="G48" i="9"/>
  <c r="G47" i="9"/>
  <c r="G46" i="9"/>
  <c r="G45" i="9"/>
  <c r="G44" i="9"/>
  <c r="G43" i="9"/>
  <c r="G42" i="9"/>
  <c r="G41" i="9"/>
  <c r="G40" i="9"/>
  <c r="G39" i="9"/>
  <c r="G38" i="9"/>
  <c r="G37" i="9"/>
  <c r="G36" i="9"/>
  <c r="G35" i="9"/>
  <c r="G33" i="9"/>
  <c r="G32" i="9"/>
  <c r="G31" i="9"/>
  <c r="G30" i="9"/>
  <c r="G29" i="9"/>
  <c r="G28" i="9"/>
  <c r="G27" i="9"/>
  <c r="G26" i="9"/>
  <c r="G25" i="9"/>
  <c r="G24" i="9"/>
  <c r="G23" i="9"/>
  <c r="G22" i="9"/>
  <c r="G21" i="9"/>
  <c r="H73" i="9"/>
  <c r="H72" i="9"/>
  <c r="H71" i="9"/>
  <c r="H67" i="9"/>
  <c r="G72" i="9"/>
  <c r="M53" i="6"/>
  <c r="M52" i="6"/>
  <c r="M51" i="6"/>
  <c r="M50" i="6"/>
  <c r="M49" i="6"/>
  <c r="M48" i="6"/>
  <c r="M47" i="6"/>
  <c r="M46" i="6"/>
  <c r="M45" i="6"/>
  <c r="M44" i="6"/>
  <c r="M43" i="6"/>
  <c r="M42" i="6"/>
  <c r="M41" i="6"/>
  <c r="M40" i="6"/>
  <c r="M39" i="6"/>
  <c r="M38" i="6"/>
  <c r="M36" i="6"/>
  <c r="M35" i="6"/>
  <c r="M34" i="6"/>
  <c r="M33" i="6"/>
  <c r="M32" i="6"/>
  <c r="M31" i="6"/>
  <c r="M30" i="6"/>
  <c r="M29" i="6"/>
  <c r="M28" i="6"/>
  <c r="M27" i="6"/>
  <c r="M26" i="6"/>
  <c r="M25" i="6"/>
  <c r="M24" i="6"/>
  <c r="N72" i="6"/>
  <c r="N70" i="6"/>
  <c r="M70" i="6" l="1"/>
  <c r="G69" i="9"/>
  <c r="G71" i="9"/>
  <c r="G70" i="9"/>
  <c r="G68" i="9"/>
  <c r="G67" i="9"/>
  <c r="M72" i="6"/>
  <c r="M71" i="6"/>
  <c r="S61" i="9"/>
  <c r="Q61" i="9"/>
  <c r="O61" i="9"/>
  <c r="Y64" i="6"/>
  <c r="W64" i="6"/>
  <c r="U64" i="6"/>
  <c r="F73" i="9" l="1"/>
  <c r="F72" i="9"/>
  <c r="F71" i="9"/>
  <c r="F70" i="9"/>
  <c r="F69" i="9"/>
  <c r="F68" i="9"/>
  <c r="F67" i="9"/>
  <c r="L72" i="6"/>
  <c r="L71" i="6"/>
  <c r="L70" i="6"/>
  <c r="S73" i="9" l="1"/>
  <c r="T70" i="9" l="1"/>
  <c r="T28" i="9"/>
  <c r="T68" i="9" s="1"/>
  <c r="T69" i="9" l="1"/>
  <c r="T73" i="9" l="1"/>
  <c r="T72" i="9"/>
  <c r="T71" i="9"/>
  <c r="T67" i="9"/>
  <c r="S72" i="9"/>
  <c r="S50" i="9"/>
  <c r="S49" i="9"/>
  <c r="S48" i="9"/>
  <c r="S47" i="9"/>
  <c r="S46" i="9"/>
  <c r="S45" i="9"/>
  <c r="S44" i="9"/>
  <c r="S43" i="9"/>
  <c r="S42" i="9"/>
  <c r="S41" i="9"/>
  <c r="S40" i="9"/>
  <c r="S39" i="9"/>
  <c r="S38" i="9"/>
  <c r="S37" i="9"/>
  <c r="S36" i="9"/>
  <c r="S35" i="9"/>
  <c r="S33" i="9"/>
  <c r="S32" i="9"/>
  <c r="S31" i="9"/>
  <c r="S30" i="9"/>
  <c r="S29" i="9"/>
  <c r="S28" i="9"/>
  <c r="S27" i="9"/>
  <c r="S26" i="9"/>
  <c r="S25" i="9"/>
  <c r="S24" i="9"/>
  <c r="S23" i="9"/>
  <c r="S22" i="9"/>
  <c r="S21" i="9"/>
  <c r="Z72" i="6"/>
  <c r="Z71" i="6"/>
  <c r="Z70" i="6"/>
  <c r="Y53" i="6"/>
  <c r="Y52" i="6"/>
  <c r="Y51" i="6"/>
  <c r="Y50" i="6"/>
  <c r="Y49" i="6"/>
  <c r="Y48" i="6"/>
  <c r="Y47" i="6"/>
  <c r="Y46" i="6"/>
  <c r="Y45" i="6"/>
  <c r="Y44" i="6"/>
  <c r="Y43" i="6"/>
  <c r="Y42" i="6"/>
  <c r="Y41" i="6"/>
  <c r="Y40" i="6"/>
  <c r="Y39" i="6"/>
  <c r="Y38" i="6"/>
  <c r="Y36" i="6"/>
  <c r="Y35" i="6"/>
  <c r="Y34" i="6"/>
  <c r="Y33" i="6"/>
  <c r="Y32" i="6"/>
  <c r="Y31" i="6"/>
  <c r="Y30" i="6"/>
  <c r="Y29" i="6"/>
  <c r="Y28" i="6"/>
  <c r="Y27" i="6"/>
  <c r="Y26" i="6"/>
  <c r="Y25" i="6"/>
  <c r="Y24" i="6"/>
  <c r="S69" i="9" l="1"/>
  <c r="S67" i="9"/>
  <c r="S70" i="9"/>
  <c r="S68" i="9"/>
  <c r="S71" i="9"/>
  <c r="Y72" i="6"/>
  <c r="Y71" i="6"/>
  <c r="Y70" i="6"/>
  <c r="R71" i="9" l="1"/>
  <c r="R73" i="9" l="1"/>
  <c r="Q73" i="9"/>
  <c r="R72" i="9"/>
  <c r="Q72" i="9"/>
  <c r="R70" i="9"/>
  <c r="R69" i="9"/>
  <c r="R68" i="9"/>
  <c r="R67" i="9"/>
  <c r="Q50" i="9"/>
  <c r="Q49" i="9"/>
  <c r="Q48" i="9"/>
  <c r="Q47" i="9"/>
  <c r="Q46" i="9"/>
  <c r="Q45" i="9"/>
  <c r="Q44" i="9"/>
  <c r="Q43" i="9"/>
  <c r="Q42" i="9"/>
  <c r="Q41" i="9"/>
  <c r="Q40" i="9"/>
  <c r="Q39" i="9"/>
  <c r="Q38" i="9"/>
  <c r="Q37" i="9"/>
  <c r="Q36" i="9"/>
  <c r="Q35" i="9"/>
  <c r="Q33" i="9"/>
  <c r="Q32" i="9"/>
  <c r="Q31" i="9"/>
  <c r="Q30" i="9"/>
  <c r="Q29" i="9"/>
  <c r="Q28" i="9"/>
  <c r="Q27" i="9"/>
  <c r="Q26" i="9"/>
  <c r="Q25" i="9"/>
  <c r="Q24" i="9"/>
  <c r="Q23" i="9"/>
  <c r="Q22" i="9"/>
  <c r="Q21" i="9"/>
  <c r="X72" i="6"/>
  <c r="X71" i="6"/>
  <c r="X70" i="6"/>
  <c r="W53" i="6"/>
  <c r="W52" i="6"/>
  <c r="W51" i="6"/>
  <c r="W50" i="6"/>
  <c r="W49" i="6"/>
  <c r="W48" i="6"/>
  <c r="W47" i="6"/>
  <c r="W46" i="6"/>
  <c r="W45" i="6"/>
  <c r="W44" i="6"/>
  <c r="W43" i="6"/>
  <c r="W42" i="6"/>
  <c r="W41" i="6"/>
  <c r="W40" i="6"/>
  <c r="W39" i="6"/>
  <c r="W38" i="6"/>
  <c r="W36" i="6"/>
  <c r="W35" i="6"/>
  <c r="W34" i="6"/>
  <c r="W33" i="6"/>
  <c r="W32" i="6"/>
  <c r="W31" i="6"/>
  <c r="W30" i="6"/>
  <c r="W29" i="6"/>
  <c r="W28" i="6"/>
  <c r="W27" i="6"/>
  <c r="W26" i="6"/>
  <c r="W25" i="6"/>
  <c r="W24" i="6"/>
  <c r="Q67" i="9" l="1"/>
  <c r="Q71" i="9"/>
  <c r="Q70" i="9"/>
  <c r="Q69" i="9"/>
  <c r="Q68" i="9"/>
  <c r="W71" i="6"/>
  <c r="W72" i="6"/>
  <c r="W70" i="6"/>
  <c r="P69" i="9" l="1"/>
  <c r="P70" i="9"/>
  <c r="P68" i="9"/>
  <c r="P73" i="9" l="1"/>
  <c r="O73" i="9"/>
  <c r="P72" i="9"/>
  <c r="O72" i="9"/>
  <c r="P71" i="9"/>
  <c r="P67" i="9"/>
  <c r="V72" i="6" l="1"/>
  <c r="V71" i="6"/>
  <c r="V70" i="6"/>
  <c r="O50" i="9" l="1"/>
  <c r="O49" i="9"/>
  <c r="O48" i="9"/>
  <c r="O47" i="9"/>
  <c r="O46" i="9"/>
  <c r="O45" i="9"/>
  <c r="O44" i="9"/>
  <c r="O43" i="9"/>
  <c r="O42" i="9"/>
  <c r="O41" i="9"/>
  <c r="O40" i="9"/>
  <c r="O39" i="9"/>
  <c r="O38" i="9"/>
  <c r="O37" i="9"/>
  <c r="O36" i="9"/>
  <c r="O35" i="9"/>
  <c r="O33" i="9"/>
  <c r="O32" i="9"/>
  <c r="O31" i="9"/>
  <c r="O30" i="9"/>
  <c r="O29" i="9"/>
  <c r="O28" i="9"/>
  <c r="O27" i="9"/>
  <c r="O26" i="9"/>
  <c r="O25" i="9"/>
  <c r="O24" i="9"/>
  <c r="O23" i="9"/>
  <c r="O22" i="9"/>
  <c r="O21" i="9"/>
  <c r="U53" i="6"/>
  <c r="U52" i="6"/>
  <c r="U51" i="6"/>
  <c r="U50" i="6"/>
  <c r="U49" i="6"/>
  <c r="U48" i="6"/>
  <c r="U47" i="6"/>
  <c r="U46" i="6"/>
  <c r="U45" i="6"/>
  <c r="U44" i="6"/>
  <c r="U43" i="6"/>
  <c r="U42" i="6"/>
  <c r="U41" i="6"/>
  <c r="U40" i="6"/>
  <c r="U39" i="6"/>
  <c r="U38" i="6"/>
  <c r="U36" i="6"/>
  <c r="U35" i="6"/>
  <c r="U34" i="6"/>
  <c r="U33" i="6"/>
  <c r="U32" i="6"/>
  <c r="U31" i="6"/>
  <c r="U30" i="6"/>
  <c r="U29" i="6"/>
  <c r="U28" i="6"/>
  <c r="U27" i="6"/>
  <c r="U25" i="6"/>
  <c r="U24" i="6"/>
  <c r="O70" i="9" l="1"/>
  <c r="O67" i="9"/>
  <c r="O68" i="9"/>
  <c r="O69" i="9"/>
  <c r="O71" i="9"/>
  <c r="U72" i="6"/>
  <c r="U26" i="6" l="1"/>
  <c r="U71" i="6" l="1"/>
  <c r="U70" i="6"/>
  <c r="N73" i="9" l="1"/>
  <c r="N72" i="9"/>
  <c r="N71" i="9"/>
  <c r="N70" i="9"/>
  <c r="N69" i="9"/>
  <c r="N68" i="9"/>
  <c r="N67" i="9"/>
  <c r="AI61" i="9" l="1"/>
  <c r="AG61" i="9"/>
  <c r="AA61" i="9"/>
  <c r="Y61" i="9"/>
  <c r="W61" i="9"/>
  <c r="AW64" i="6"/>
  <c r="AU64" i="6"/>
  <c r="AO64" i="6"/>
  <c r="AM64" i="6"/>
  <c r="AK64" i="6"/>
  <c r="AG64" i="6"/>
  <c r="AE64" i="6"/>
  <c r="AC64" i="6"/>
  <c r="AA40" i="9"/>
  <c r="AA41" i="9"/>
  <c r="AA42" i="9"/>
  <c r="AA43" i="9"/>
  <c r="AA44" i="9"/>
  <c r="AA45" i="9"/>
  <c r="AA46" i="9"/>
  <c r="AA47" i="9"/>
  <c r="AA48" i="9"/>
  <c r="AA49" i="9"/>
  <c r="AA50" i="9"/>
  <c r="W40" i="9"/>
  <c r="W41" i="9"/>
  <c r="W42" i="9"/>
  <c r="W43" i="9"/>
  <c r="W44" i="9"/>
  <c r="W45" i="9"/>
  <c r="W46" i="9"/>
  <c r="W47" i="9"/>
  <c r="W48" i="9"/>
  <c r="W49" i="9"/>
  <c r="W50" i="9"/>
  <c r="AA33" i="9"/>
  <c r="AA35" i="9"/>
  <c r="AA36" i="9"/>
  <c r="AA37" i="9"/>
  <c r="AA38" i="9"/>
  <c r="AA39" i="9"/>
  <c r="W33" i="9"/>
  <c r="W34" i="9"/>
  <c r="W35" i="9"/>
  <c r="W36" i="9"/>
  <c r="W37" i="9"/>
  <c r="W38" i="9"/>
  <c r="W39" i="9"/>
  <c r="AA28" i="9"/>
  <c r="AA29" i="9"/>
  <c r="AA30" i="9"/>
  <c r="AA31" i="9"/>
  <c r="AA32" i="9"/>
  <c r="W28" i="9"/>
  <c r="W29" i="9"/>
  <c r="W30" i="9"/>
  <c r="W31" i="9"/>
  <c r="W32" i="9"/>
  <c r="AA23" i="9"/>
  <c r="AA24" i="9"/>
  <c r="AA25" i="9"/>
  <c r="AA26" i="9"/>
  <c r="AA27" i="9"/>
  <c r="W23" i="9"/>
  <c r="W24" i="9"/>
  <c r="W25" i="9"/>
  <c r="W26" i="9"/>
  <c r="W27" i="9"/>
  <c r="AA21" i="9"/>
  <c r="AA22" i="9"/>
  <c r="W21" i="9"/>
  <c r="W22" i="9"/>
  <c r="AG43" i="6"/>
  <c r="AG44" i="6"/>
  <c r="AG45" i="6"/>
  <c r="AG46" i="6"/>
  <c r="AG47" i="6"/>
  <c r="AG48" i="6"/>
  <c r="AG49" i="6"/>
  <c r="AG50" i="6"/>
  <c r="AG51" i="6"/>
  <c r="AG52" i="6"/>
  <c r="AG53" i="6"/>
  <c r="AC43" i="6"/>
  <c r="AC44" i="6"/>
  <c r="AC45" i="6"/>
  <c r="AC46" i="6"/>
  <c r="AC47" i="6"/>
  <c r="AC48" i="6"/>
  <c r="AC49" i="6"/>
  <c r="AC50" i="6"/>
  <c r="AC51" i="6"/>
  <c r="AC52" i="6"/>
  <c r="AC53" i="6"/>
  <c r="AG36" i="6"/>
  <c r="AG38" i="6"/>
  <c r="AG39" i="6"/>
  <c r="AG40" i="6"/>
  <c r="AG41" i="6"/>
  <c r="AG42" i="6"/>
  <c r="AC36" i="6"/>
  <c r="AC38" i="6"/>
  <c r="AC39" i="6"/>
  <c r="AC40" i="6"/>
  <c r="AC41" i="6"/>
  <c r="AC42" i="6"/>
  <c r="AG31" i="6"/>
  <c r="AG32" i="6"/>
  <c r="AG33" i="6"/>
  <c r="AG34" i="6"/>
  <c r="AG35" i="6"/>
  <c r="AC31" i="6"/>
  <c r="AC32" i="6"/>
  <c r="AC33" i="6"/>
  <c r="AC34" i="6"/>
  <c r="AC35" i="6"/>
  <c r="AG26" i="6"/>
  <c r="AG27" i="6"/>
  <c r="AG28" i="6"/>
  <c r="AG29" i="6"/>
  <c r="AG30" i="6"/>
  <c r="AC26" i="6"/>
  <c r="AC27" i="6"/>
  <c r="AC28" i="6"/>
  <c r="AC29" i="6"/>
  <c r="AC30" i="6"/>
  <c r="AG24" i="6"/>
  <c r="AG25" i="6"/>
  <c r="AC24" i="6"/>
  <c r="AC25" i="6"/>
  <c r="B6" i="24"/>
  <c r="B6" i="27"/>
  <c r="D14" i="22"/>
  <c r="D15" i="22"/>
  <c r="D16" i="22"/>
  <c r="D17" i="22"/>
  <c r="D18" i="22"/>
  <c r="D19" i="22"/>
  <c r="D20" i="22"/>
  <c r="D21" i="22"/>
  <c r="D22" i="22"/>
  <c r="D23" i="22"/>
  <c r="D24" i="22"/>
  <c r="D25" i="22"/>
  <c r="D26" i="22"/>
  <c r="D28" i="22"/>
  <c r="D29" i="22"/>
  <c r="D30" i="22"/>
  <c r="D31" i="22"/>
  <c r="D32" i="22"/>
  <c r="D33" i="22"/>
  <c r="D34" i="22"/>
  <c r="D35" i="22"/>
  <c r="D36" i="22"/>
  <c r="D37" i="22"/>
  <c r="D38" i="22"/>
  <c r="D39" i="22"/>
  <c r="D40" i="22"/>
  <c r="D41" i="22"/>
  <c r="D42" i="22"/>
  <c r="D43" i="22"/>
  <c r="AC70" i="6" l="1"/>
  <c r="W70" i="9"/>
  <c r="AG71" i="6"/>
  <c r="AA69" i="9"/>
  <c r="AA67" i="9"/>
  <c r="AA71" i="9"/>
  <c r="AG72" i="6"/>
  <c r="W67" i="9"/>
  <c r="W68" i="9"/>
  <c r="AC71" i="6"/>
  <c r="W69" i="9"/>
  <c r="AA70" i="9"/>
  <c r="AC72" i="6"/>
  <c r="AG70" i="6"/>
  <c r="AA68" i="9"/>
  <c r="W71" i="9"/>
  <c r="AF40" i="37" l="1"/>
  <c r="AH68" i="37"/>
  <c r="AG68" i="37"/>
  <c r="AF68" i="37" l="1"/>
  <c r="X37" i="5" l="1"/>
  <c r="X67" i="5" s="1"/>
  <c r="W67" i="5"/>
  <c r="X57" i="50"/>
  <c r="W29" i="1" l="1"/>
  <c r="U18" i="2"/>
  <c r="W33" i="1" l="1"/>
  <c r="U31" i="2"/>
  <c r="U35" i="2" s="1"/>
  <c r="U53" i="2"/>
  <c r="W19" i="1"/>
  <c r="X51" i="1"/>
  <c r="U52" i="2"/>
  <c r="W37" i="1" l="1"/>
  <c r="W52" i="1"/>
  <c r="W51" i="1"/>
  <c r="Z52" i="1" l="1"/>
  <c r="W24" i="2"/>
  <c r="Y52" i="1" l="1"/>
  <c r="AA27" i="1"/>
  <c r="AA52" i="1" l="1"/>
  <c r="M44" i="68"/>
  <c r="L44" i="68"/>
  <c r="L67" i="68" s="1"/>
  <c r="M67" i="68" l="1"/>
  <c r="M32" i="70"/>
  <c r="AF19" i="55"/>
  <c r="AD19" i="55"/>
  <c r="AF24" i="55" l="1"/>
  <c r="AF64" i="55"/>
  <c r="AF63" i="55"/>
  <c r="AD63" i="55"/>
  <c r="AD24" i="55"/>
  <c r="AD64" i="55" s="1"/>
  <c r="AE14" i="1"/>
  <c r="AF50" i="1"/>
  <c r="AF51" i="1"/>
  <c r="AG14" i="1"/>
  <c r="AE51" i="1" l="1"/>
  <c r="AE50" i="1"/>
  <c r="AG51" i="1"/>
  <c r="AG50" i="1"/>
  <c r="AE29" i="55" l="1"/>
  <c r="AE65" i="55" l="1"/>
  <c r="AE36" i="55"/>
  <c r="AD29" i="55"/>
  <c r="AD65" i="55" s="1"/>
  <c r="AG25" i="1"/>
  <c r="AE25" i="1"/>
  <c r="AF29" i="55"/>
  <c r="AF65" i="55" s="1"/>
  <c r="AE66" i="55" l="1"/>
  <c r="AE44" i="55"/>
  <c r="AE67" i="55" s="1"/>
  <c r="AD36" i="55"/>
  <c r="AD66" i="55" s="1"/>
  <c r="AF36" i="55"/>
  <c r="AF66" i="55"/>
  <c r="AD44" i="55" l="1"/>
  <c r="AF44" i="55"/>
  <c r="AF67" i="55" s="1"/>
  <c r="AD67" i="55" l="1"/>
  <c r="AF37" i="1" l="1"/>
  <c r="AE29" i="1"/>
  <c r="AF52" i="1"/>
  <c r="AE33" i="1" l="1"/>
  <c r="AE52" i="1"/>
  <c r="AH33" i="1"/>
  <c r="AH37" i="1" s="1"/>
  <c r="AG29" i="1"/>
  <c r="AG52" i="1" s="1"/>
  <c r="AE37" i="1" l="1"/>
  <c r="AG33" i="1"/>
  <c r="AI33" i="1"/>
  <c r="AI37" i="1" s="1"/>
  <c r="AJ33" i="1"/>
  <c r="AJ37" i="1" s="1"/>
  <c r="AG37"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<sst xmlns="http://schemas.openxmlformats.org/spreadsheetml/2006/main" count="3324" uniqueCount="272">
  <si>
    <t>Compass Diversified Holdings</t>
  </si>
  <si>
    <t>Condensed Consolidated Financial Data</t>
  </si>
  <si>
    <t>NOTES:</t>
  </si>
  <si>
    <t>Q1 QTD</t>
  </si>
  <si>
    <t>Q2 QTD</t>
  </si>
  <si>
    <t>Q2 YTD</t>
  </si>
  <si>
    <t>Q3 QTD</t>
  </si>
  <si>
    <t>Q3 YTD</t>
  </si>
  <si>
    <t>Q4 QTD</t>
  </si>
  <si>
    <t>Q4 YTD</t>
  </si>
  <si>
    <t>Net Sales</t>
  </si>
  <si>
    <t>Cost of Sales</t>
  </si>
  <si>
    <t>Gross Profit</t>
  </si>
  <si>
    <t>SG&amp;A</t>
  </si>
  <si>
    <t>Management fees</t>
  </si>
  <si>
    <t>Amortization of intangibles</t>
  </si>
  <si>
    <t>Impairment of asset</t>
  </si>
  <si>
    <t>Income from operations</t>
  </si>
  <si>
    <t>Other Expense (Income)</t>
  </si>
  <si>
    <t>Interest expense (net)</t>
  </si>
  <si>
    <t>Intercompany Interest</t>
  </si>
  <si>
    <t>Provision (benefit) for income taxes</t>
  </si>
  <si>
    <t>Minority Interest</t>
  </si>
  <si>
    <t>Loss (income) from discontinued operations, net of tax</t>
  </si>
  <si>
    <t>Net Income</t>
  </si>
  <si>
    <t>Total Assets</t>
  </si>
  <si>
    <t>Intercompany Liabilities (Inc Accrued Int)</t>
  </si>
  <si>
    <t>Revolver and Term debt</t>
  </si>
  <si>
    <t>Other Liabilities</t>
  </si>
  <si>
    <t>Total Liabilities</t>
  </si>
  <si>
    <t>Total Stockholder's equity attributable to holdings</t>
  </si>
  <si>
    <t>Noncontrolling interest</t>
  </si>
  <si>
    <t>Total stockholders' equity</t>
  </si>
  <si>
    <t>Corporate Entity</t>
  </si>
  <si>
    <t>Other</t>
  </si>
  <si>
    <t>Minority interest</t>
  </si>
  <si>
    <t>Total Equity</t>
  </si>
  <si>
    <t>GP</t>
  </si>
  <si>
    <t>Inc from Cont</t>
  </si>
  <si>
    <t>Total Liab</t>
  </si>
  <si>
    <t>B/S</t>
  </si>
  <si>
    <t>Purchase Price (May 2006)</t>
  </si>
  <si>
    <t>Initial Equity Contribution</t>
  </si>
  <si>
    <t>Noncontrolling Interest</t>
  </si>
  <si>
    <t>Initial Debt Contribution</t>
  </si>
  <si>
    <t>Recapitalization Oct 2007 - Equity proceeds</t>
  </si>
  <si>
    <t>Recapitalization Oct 2007 - Debt</t>
  </si>
  <si>
    <t>Recapitalization Dec 2012 - Equity proceeds</t>
  </si>
  <si>
    <t>Recapitalization Dec 2012 - Debt</t>
  </si>
  <si>
    <t>Recapitalization May 2016 - Equity proceeds</t>
  </si>
  <si>
    <t>Recapitalization May 2016 - Debt</t>
  </si>
  <si>
    <t>Add-on acquisition (debt) 2009</t>
  </si>
  <si>
    <t>Add-on acquisition (debt) March 2010</t>
  </si>
  <si>
    <t>Add-on acquisition (debt) May 2012</t>
  </si>
  <si>
    <t>Adjusted for:</t>
  </si>
  <si>
    <t>Depreciation and Amortization</t>
  </si>
  <si>
    <t>Amortization of debt issuance cost</t>
  </si>
  <si>
    <t>EBITDA</t>
  </si>
  <si>
    <t>(Gain) Loss on sale of fixed assets</t>
  </si>
  <si>
    <t>Non-controlling shareholder compensation</t>
  </si>
  <si>
    <t>Impairment Expense</t>
  </si>
  <si>
    <t>Stock option expense</t>
  </si>
  <si>
    <t>Successful acquisition expense</t>
  </si>
  <si>
    <t>Increase (decrease) in earn out probability</t>
  </si>
  <si>
    <t>Integration Service Fee</t>
  </si>
  <si>
    <t>Adjusted EBITDA</t>
  </si>
  <si>
    <t>Maintenance capital expenditures</t>
  </si>
  <si>
    <t>CODI Equity Ownership Interest</t>
  </si>
  <si>
    <t>Primary</t>
  </si>
  <si>
    <t>Fully Diluted</t>
  </si>
  <si>
    <t>Purchase Price (March 2012)</t>
  </si>
  <si>
    <t>Impairment expense</t>
  </si>
  <si>
    <t>Purchase Price (August 2014)</t>
  </si>
  <si>
    <t>Add-on acquisition (Debt) Dec 2014</t>
  </si>
  <si>
    <t>Add-on acquisition (Debt) April 2016</t>
  </si>
  <si>
    <t>Add-on acquisition (Debt) June 2016</t>
  </si>
  <si>
    <t>Integration Service fees</t>
  </si>
  <si>
    <t>Purchase Price (September 2010)</t>
  </si>
  <si>
    <t>Add-on acquisition (debt) Nov 2011</t>
  </si>
  <si>
    <t>Add-on acquisition (debt) May 2016</t>
  </si>
  <si>
    <t>Purchase Price (March 2010)</t>
  </si>
  <si>
    <t xml:space="preserve">Add-on acquisition debt </t>
  </si>
  <si>
    <t>Recapitalization March 2016 - Equity proceeds</t>
  </si>
  <si>
    <t>Recapitalization March 2016 - Debt</t>
  </si>
  <si>
    <t xml:space="preserve">Purchase Price (July 2015) </t>
  </si>
  <si>
    <t>Add-on acquisition (debt) Dec 2015</t>
  </si>
  <si>
    <t>Integration service fee</t>
  </si>
  <si>
    <t>Purchase Price (October 2014)</t>
  </si>
  <si>
    <t>Add-on acquisition (debt) January 2016</t>
  </si>
  <si>
    <t>Purchase Price (August 2016)</t>
  </si>
  <si>
    <t>Corporate</t>
  </si>
  <si>
    <t>5.11 Tactical</t>
  </si>
  <si>
    <t>Arnold Magnetics</t>
  </si>
  <si>
    <t>Sterno Products</t>
  </si>
  <si>
    <t>Consolidated</t>
  </si>
  <si>
    <t>Intercompany interest</t>
  </si>
  <si>
    <t>Depreciation and amortization</t>
  </si>
  <si>
    <t>Loss on debt extinguishment</t>
  </si>
  <si>
    <t>Acquisition expenses</t>
  </si>
  <si>
    <t>Discontinued Operations</t>
  </si>
  <si>
    <t>Tridien Discontinued Q3 2016</t>
  </si>
  <si>
    <t>AFM Discontinued Q3 2015</t>
  </si>
  <si>
    <t>CamelBak Discontinued Q3 2015</t>
  </si>
  <si>
    <t>Halo Discontinued Q2 2012</t>
  </si>
  <si>
    <t>Staffmark Discontinued Q4 2011</t>
  </si>
  <si>
    <t>Silvue Discontinued Q2 2008</t>
  </si>
  <si>
    <t>Aeroglide Discontinued Q2 2008</t>
  </si>
  <si>
    <t>Crossman Discontinued Q4 2006</t>
  </si>
  <si>
    <t>Discontinued Operations Adjustments</t>
  </si>
  <si>
    <t>Q4 2006</t>
  </si>
  <si>
    <t>NOTE:</t>
  </si>
  <si>
    <t>The discontinued operations data included within this tab is necessary for consolidation. Note that certain push down entries</t>
  </si>
  <si>
    <t>are included within these discontinued operations balances.</t>
  </si>
  <si>
    <t>Purchase Price (August 2006)</t>
  </si>
  <si>
    <t>Share repurchase Sep 2009</t>
  </si>
  <si>
    <t>Share repurchase Aug 2012</t>
  </si>
  <si>
    <t>Realized Gain</t>
  </si>
  <si>
    <t>Purchase Price (Feb 2007)</t>
  </si>
  <si>
    <t>CODI's Portion of Sales Proceeds (June 2008)</t>
  </si>
  <si>
    <t>Debt</t>
  </si>
  <si>
    <t>Equity</t>
  </si>
  <si>
    <t>Purchase Price (Aug 2007)</t>
  </si>
  <si>
    <t>CODI's Portion of Sales Proceeds (October 2015)</t>
  </si>
  <si>
    <t>Realized Loss</t>
  </si>
  <si>
    <t>Purchase Price (August 2011)</t>
  </si>
  <si>
    <t>Minority preferred stock</t>
  </si>
  <si>
    <t>Preferred Stock Redemption (3/6/12)</t>
  </si>
  <si>
    <t>Additional equity contribution</t>
  </si>
  <si>
    <t>Additional debt contribution</t>
  </si>
  <si>
    <t>Sales Proceeds (August 2015)</t>
  </si>
  <si>
    <t xml:space="preserve">Other  </t>
  </si>
  <si>
    <t>Intercompany Liabilities</t>
  </si>
  <si>
    <t>Staffmark acquisition (January 2008)</t>
  </si>
  <si>
    <t>Add-on acquisition (August 2009)</t>
  </si>
  <si>
    <t>Add-on acquisition (October 2009)</t>
  </si>
  <si>
    <t>CODI's Portion of Sales Proceeds (October 2011)</t>
  </si>
  <si>
    <t>CODI's Portion of Sales Proceeds (Jan 2007)</t>
  </si>
  <si>
    <t>Purchase Price (January 2008)</t>
  </si>
  <si>
    <t>Share repurchase Dec 2011</t>
  </si>
  <si>
    <t>Recapitalization Jun 2012 - Equity proceeds</t>
  </si>
  <si>
    <t>Recapitalization Jun 2012 - Debt</t>
  </si>
  <si>
    <t>Add-on acquisition (April 2008)</t>
  </si>
  <si>
    <t>Add-on acquisition (December 2009)</t>
  </si>
  <si>
    <t>Add-on acquisition (February 2010)</t>
  </si>
  <si>
    <t>Add-on acquisition (October 2011)</t>
  </si>
  <si>
    <t>CODI's Portion of Sales Proceeds (May 2012)</t>
  </si>
  <si>
    <t>Unsuccessful Acquisition Costs</t>
  </si>
  <si>
    <t>Adj EBTIDA</t>
  </si>
  <si>
    <t>Add-on acquisition (Debt) March 2017</t>
  </si>
  <si>
    <t>Sales Proceeds (Aug 2013 IPO - Mar 2017)</t>
  </si>
  <si>
    <t>Purchase Price (June 2017)</t>
  </si>
  <si>
    <t>Add-on acquisition (debt) August 2017</t>
  </si>
  <si>
    <t>Add-on acquisition (debt) July 2017</t>
  </si>
  <si>
    <t>Q1 YTD</t>
  </si>
  <si>
    <t>Purchase Price (February 2018)</t>
  </si>
  <si>
    <t>Recapitalization January 2018 Debt proceeds</t>
  </si>
  <si>
    <t>Add-on acquisition (debt) February 18</t>
  </si>
  <si>
    <t>Integration services fee</t>
  </si>
  <si>
    <t>Add-on acquisition (debt) September 2018</t>
  </si>
  <si>
    <t>Velocity Outdoor</t>
  </si>
  <si>
    <t>Add-on acquisition (equity) September 2018</t>
  </si>
  <si>
    <t>Minoritiy Intereset acquisition Dec 2015</t>
  </si>
  <si>
    <t>Manitoba Discontinued Q1 2019</t>
  </si>
  <si>
    <t>Other (income) expense</t>
  </si>
  <si>
    <t>CODI's Portion of Sales Proceeds (March 2019)</t>
  </si>
  <si>
    <t>CODI's Portion of Sales Proceeds expected September 2019</t>
  </si>
  <si>
    <t>Total expected Sales Proceeds</t>
  </si>
  <si>
    <t>Clean Earth Discontinued Q2 2019</t>
  </si>
  <si>
    <t>Sales Proceeds (June 2019)</t>
  </si>
  <si>
    <t>Purchase Price (May 2020)</t>
  </si>
  <si>
    <t>Growth capital expenditures</t>
  </si>
  <si>
    <t>Add-on acquisition (debt) June 2020</t>
  </si>
  <si>
    <t>Compass Diversified (NYSE: CODI)</t>
  </si>
  <si>
    <t>Purchase Price (October 2020)</t>
  </si>
  <si>
    <t>BOA</t>
  </si>
  <si>
    <t>Recapitalization Nov 2020 - Equity proceeds</t>
  </si>
  <si>
    <t>Recapitalization Nov 2020 - Debt</t>
  </si>
  <si>
    <t>Equity Repurchase (add'l invested capital by CODI) Nov 2020</t>
  </si>
  <si>
    <t>Ergobaby equity purchase June 2016</t>
  </si>
  <si>
    <t>Sterno Equity purchase February 2018</t>
  </si>
  <si>
    <t>Sterno Equity purchase March 2018</t>
  </si>
  <si>
    <t>Liberty equity purchase March 2016</t>
  </si>
  <si>
    <t>Altor Solutions</t>
  </si>
  <si>
    <t>Add-on acquisition (equity) March 21</t>
  </si>
  <si>
    <t>Add-on acquisition (Debt) May 2018</t>
  </si>
  <si>
    <t>Add-on acquisition (Debt) September 2018</t>
  </si>
  <si>
    <t>Add-on acquisition (debt) October 2021</t>
  </si>
  <si>
    <t>Lugano</t>
  </si>
  <si>
    <t>Purchase Price (September 2021)</t>
  </si>
  <si>
    <t>Sales Proceeds (October 2021)</t>
  </si>
  <si>
    <t>Liberty Discontinued Q3 2021</t>
  </si>
  <si>
    <t>Agrees to Company tab</t>
  </si>
  <si>
    <t>Add-on acquisition (debt) February 2022</t>
  </si>
  <si>
    <t>PrimaLoft</t>
  </si>
  <si>
    <t>Net income (loss) from continuing operations</t>
  </si>
  <si>
    <t>Interest expense, net</t>
  </si>
  <si>
    <t>Purchase Price (July 2022)</t>
  </si>
  <si>
    <t>Management fees'</t>
  </si>
  <si>
    <t>Successful Acquisition Costs</t>
  </si>
  <si>
    <t>Unsuccesful acquisition costs</t>
  </si>
  <si>
    <t>Check</t>
  </si>
  <si>
    <t>BOA equity purchase September 2021</t>
  </si>
  <si>
    <t>Recapitalization Feb 2022 - Debt</t>
  </si>
  <si>
    <t>Recapitalization June 2021 - Debt</t>
  </si>
  <si>
    <t>(Gain) loss on sale of business</t>
  </si>
  <si>
    <t>Add-on acquisition (debt) April 2023</t>
  </si>
  <si>
    <t>Realized gain ($m)</t>
  </si>
  <si>
    <t>(Income) loss from discontinued operations attributable to minority interest</t>
  </si>
  <si>
    <t>Income (loss) from operations</t>
  </si>
  <si>
    <t>Advanced Circuits*</t>
  </si>
  <si>
    <t>Cost of Goods Sold</t>
  </si>
  <si>
    <t xml:space="preserve">  G&amp;A Expenses</t>
  </si>
  <si>
    <t>Management Fee</t>
  </si>
  <si>
    <t>Amort Expense</t>
  </si>
  <si>
    <t>Operating Income / (Loss)</t>
  </si>
  <si>
    <t xml:space="preserve">  Interest (Expense)</t>
  </si>
  <si>
    <t xml:space="preserve">  I/C Interest Inc / (Exp)</t>
  </si>
  <si>
    <t xml:space="preserve">  Other Income / (Expense)</t>
  </si>
  <si>
    <t>Income Tax Expense</t>
  </si>
  <si>
    <t xml:space="preserve"> Net Income / (Loss)</t>
  </si>
  <si>
    <t xml:space="preserve">  Amort (Exp) - Loan Orig Fee</t>
  </si>
  <si>
    <t xml:space="preserve">  Total Assets</t>
  </si>
  <si>
    <t>Long Term Debt, I/C (CODI)</t>
  </si>
  <si>
    <t xml:space="preserve">  Total Liabilities</t>
  </si>
  <si>
    <t xml:space="preserve">  Total Equity</t>
  </si>
  <si>
    <t xml:space="preserve">  Selling Expenses</t>
  </si>
  <si>
    <t xml:space="preserve">  Interest Income</t>
  </si>
  <si>
    <t>Short Term Debt, I/C (CODI)</t>
  </si>
  <si>
    <t>I/C Accrued Interest (CODI)</t>
  </si>
  <si>
    <t>Interest Income</t>
  </si>
  <si>
    <t>Selling Expenses</t>
  </si>
  <si>
    <t>Purchases - Maintenance CAP EX</t>
  </si>
  <si>
    <t>Purchases - Growth CAP EX</t>
  </si>
  <si>
    <t xml:space="preserve">  G/(L) on Sale of Fixed Assets</t>
  </si>
  <si>
    <t>Impairment of Assets</t>
  </si>
  <si>
    <t>Recapitalization Dec 2023 - Debt</t>
  </si>
  <si>
    <t>Marucci Sports*</t>
  </si>
  <si>
    <t>Recapitalization Feb 2022 - Equity distribution</t>
  </si>
  <si>
    <t>Recapitalization January 2018 Equity distribution</t>
  </si>
  <si>
    <t>Recapitalization June 2021 - Equity distribution</t>
  </si>
  <si>
    <t>Add-on acquisition (debt) July 2022</t>
  </si>
  <si>
    <t>Recapitalization Dec 2023 - Equity distribution</t>
  </si>
  <si>
    <t>Purchase Price (January 2024)</t>
  </si>
  <si>
    <t>THP</t>
  </si>
  <si>
    <t>* All information is presented in thousands ($000)
* All quarterly information is unaudited</t>
  </si>
  <si>
    <t xml:space="preserve">              —</t>
  </si>
  <si>
    <t xml:space="preserve">             —</t>
  </si>
  <si>
    <t xml:space="preserve">            —</t>
  </si>
  <si>
    <t xml:space="preserve">                —</t>
  </si>
  <si>
    <t xml:space="preserve">           —</t>
  </si>
  <si>
    <t>Add-on acquisition (debt) Dec 2023</t>
  </si>
  <si>
    <t>Add-on acquisition (debt) October 2024</t>
  </si>
  <si>
    <t>*The sale of ACI, Marucci and Ergo were completed in February 2023, November 2023 and December 2024 respectively. The financial results of ACI and Marucci were recorded as discontinued operations in 2023. The financial results of Ergo were recorded as a discontinued operation in 2024. For discontinued operations reporting, please refer to our most recent 10-K and 10-Q public filings</t>
  </si>
  <si>
    <t>Ergobaby*</t>
  </si>
  <si>
    <t>Senior Notes, Term Debt &amp; Revolver</t>
  </si>
  <si>
    <t>Loss on deconsolidation</t>
  </si>
  <si>
    <t>Other (Income) Expense</t>
  </si>
  <si>
    <t>Amortization of debt issuance costs</t>
  </si>
  <si>
    <t>Other expense (Income)</t>
  </si>
  <si>
    <t>Amortization of Loan fees</t>
  </si>
  <si>
    <t>(Gain)/Loss on discontinued operations, net of income tax</t>
  </si>
  <si>
    <t>Loss on debt modification</t>
  </si>
  <si>
    <t>Net income (loss)</t>
  </si>
  <si>
    <t>Net income (loss) attributable to holdings</t>
  </si>
  <si>
    <t>Loss on sale of Crosman</t>
  </si>
  <si>
    <t>(Income) from continuing operations attributable to NCI</t>
  </si>
  <si>
    <t>Amortization of debt issuance costs and I/C loan fees</t>
  </si>
  <si>
    <t>Loss on Deconsolidation</t>
  </si>
  <si>
    <t>Full Year 2025 Adjusted EBITDA schedule</t>
  </si>
  <si>
    <t>Full Year 2024 Adjusted EBITDA schedule</t>
  </si>
  <si>
    <t>Full Year 2023 Adjusted EBITDA schedule</t>
  </si>
  <si>
    <t>Full Year 2022 Q4 Adjusted EBITDA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</si>
</sst>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0.0%"/>
    <numFmt numFmtId="168" formatCode="_(&quot;$&quot;* #,##0_);_(&quot;$&quot;* \(#,##0\);_(&quot;$&quot;* &quot;-&quot;??_);_(@_)"/>
    <numFmt numFmtId="169" formatCode="#,##0.0_);\(#,##0.0\)"/>
    <numFmt numFmtId="170" formatCode="[$€-2]\ #,##0.0_);\([$€-2]\ #,##0.0\)"/>
  </numFmts>
  <fonts count="36" x14ac:knownFonts="1">
    <font>
      <sz val="11"/>
      <color theme="1"/>
      <name val="Calibri"/>
      <family val="2"/>
      <scheme val="minor"/>
    </font>
    <font>
      <sz val="11"/>
      <color indexed="8"/>
      <name val="Calibri"/>
      <family val="2"/>
    </font>
    <font>
      <b/>
      <sz val="11"/>
      <color indexed="8"/>
      <name val="Calibri"/>
      <family val="2"/>
    </font>
    <font>
      <b/>
      <sz val="11"/>
      <name val="Calibri"/>
      <family val="2"/>
    </font>
    <font>
      <b/>
      <sz val="11"/>
      <color indexed="10"/>
      <name val="Calibri"/>
      <family val="2"/>
    </font>
    <font>
      <b/>
      <u/>
      <sz val="11"/>
      <color indexed="8"/>
      <name val="Calibri"/>
      <family val="2"/>
    </font>
    <font>
      <u val="singleAccounting"/>
      <sz val="11"/>
      <color indexed="8"/>
      <name val="Calibri"/>
      <family val="2"/>
    </font>
    <font>
      <u/>
      <sz val="11"/>
      <color indexed="8"/>
      <name val="Calibri"/>
      <family val="2"/>
    </font>
    <font>
      <sz val="11"/>
      <name val="Calibri"/>
      <family val="2"/>
    </font>
    <font>
      <b/>
      <u/>
      <sz val="11"/>
      <name val="Calibri"/>
      <family val="2"/>
    </font>
    <font>
      <u val="singleAccounting"/>
      <sz val="11"/>
      <name val="Calibri"/>
      <family val="2"/>
    </font>
    <font>
      <u/>
      <sz val="11"/>
      <name val="Calibri"/>
      <family val="2"/>
    </font>
    <font>
      <sz val="11"/>
      <color indexed="10"/>
      <name val="Calibri"/>
      <family val="2"/>
    </font>
    <font>
      <u/>
      <sz val="11"/>
      <color indexed="9"/>
      <name val="Calibri"/>
      <family val="2"/>
    </font>
    <font>
      <sz val="11"/>
      <name val="Calibri"/>
      <family val="2"/>
      <scheme val="minor"/>
    </font>
    <font>
      <b/>
      <sz val="11"/>
      <color theme="1"/>
      <name val="Calibri"/>
      <family val="2"/>
      <scheme val="minor"/>
    </font>
    <font>
      <u/>
      <sz val="11"/>
      <color theme="1"/>
      <name val="Calibri"/>
      <family val="2"/>
      <scheme val="minor"/>
    </font>
    <font>
      <b/>
      <u/>
      <sz val="11"/>
      <color indexed="10"/>
      <name val="Calibri"/>
      <family val="2"/>
    </font>
    <font>
      <sz val="11"/>
      <color theme="1"/>
      <name val="Calibri"/>
      <family val="2"/>
      <scheme val="minor"/>
    </font>
    <font>
      <b/>
      <u val="singleAccounting"/>
      <sz val="11"/>
      <color indexed="8"/>
      <name val="Calibri"/>
      <family val="2"/>
    </font>
    <font>
      <b/>
      <u val="singleAccounting"/>
      <sz val="11"/>
      <color theme="1"/>
      <name val="Calibri"/>
      <family val="2"/>
      <scheme val="minor"/>
    </font>
    <font>
      <b/>
      <sz val="11"/>
      <name val="Calibri"/>
      <family val="2"/>
      <scheme val="minor"/>
    </font>
    <font>
      <sz val="11"/>
      <color rgb="FF000000"/>
      <name val="Calibri"/>
      <family val="2"/>
      <scheme val="minor"/>
    </font>
    <font>
      <sz val="10"/>
      <color rgb="FF000000"/>
      <name val="Times New Roman"/>
      <family val="1"/>
    </font>
    <font>
      <u val="singleAccounting"/>
      <sz val="11"/>
      <color theme="1"/>
      <name val="Calibri"/>
      <family val="2"/>
      <scheme val="minor"/>
    </font>
    <font>
      <i/>
      <sz val="11"/>
      <color rgb="FFFF0000"/>
      <name val="Calibri"/>
      <family val="2"/>
      <scheme val="minor"/>
    </font>
    <font>
      <sz val="11"/>
      <color rgb="FFFF0000"/>
      <name val="Calibri"/>
      <family val="2"/>
      <scheme val="minor"/>
    </font>
    <font>
      <b/>
      <u/>
      <sz val="11"/>
      <color theme="1"/>
      <name val="Calibri"/>
      <family val="2"/>
      <scheme val="minor"/>
    </font>
    <font>
      <sz val="11"/>
      <color theme="1"/>
      <name val="Calibri"/>
      <family val="2"/>
    </font>
    <font>
      <b/>
      <sz val="11"/>
      <color rgb="FFFF0000"/>
      <name val="Calibri"/>
      <family val="2"/>
      <scheme val="minor"/>
    </font>
    <font>
      <sz val="10"/>
      <name val="Arial"/>
      <family val="2"/>
    </font>
    <font>
      <b/>
      <sz val="18"/>
      <color rgb="FF000000"/>
      <name val="Arial"/>
      <family val="2"/>
    </font>
    <font>
      <b/>
      <sz val="16"/>
      <color rgb="FF000000"/>
      <name val="Arial"/>
      <family val="2"/>
    </font>
    <font>
      <sz val="14"/>
      <color rgb="FF000000"/>
      <name val="Arial"/>
      <family val="2"/>
    </font>
    <font>
      <sz val="8"/>
      <name val="Tahoma"/>
      <family val="2"/>
    </font>
    <font>
      <sz val="9"/>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79998168889431442"/>
        <bgColor indexed="64"/>
      </patternFill>
    </fill>
  </fills>
  <borders count="32">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70" fontId="18" fillId="0" borderId="0"/>
    <xf numFmtId="44" fontId="18" fillId="0" borderId="0" applyFont="0" applyFill="0" applyBorder="0" applyAlignment="0" applyProtection="0"/>
    <xf numFmtId="0" fontId="23" fillId="0" borderId="0" applyBorder="0">
      <alignment wrapText="1"/>
    </xf>
    <xf numFmtId="43" fontId="28" fillId="0" borderId="0" applyFont="0" applyFill="0" applyBorder="0" applyAlignment="0" applyProtection="0"/>
    <xf numFmtId="0" fontId="28" fillId="0" borderId="0"/>
    <xf numFmtId="9" fontId="28" fillId="0" borderId="0" applyFont="0" applyFill="0" applyBorder="0" applyAlignment="0" applyProtection="0"/>
    <xf numFmtId="44" fontId="2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70" fontId="18" fillId="0" borderId="0"/>
    <xf numFmtId="0" fontId="30" fillId="0" borderId="0"/>
    <xf numFmtId="0" fontId="23"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43" fontId="18" fillId="0" borderId="0" applyFont="0" applyFill="0" applyBorder="0" applyAlignment="0" applyProtection="0"/>
    <xf numFmtId="0" fontId="34" fillId="0" borderId="0"/>
    <xf numFmtId="9" fontId="18" fillId="0" borderId="0" applyFont="0" applyFill="0" applyBorder="0" applyAlignment="0" applyProtection="0"/>
    <xf numFmtId="43" fontId="30" fillId="0" borderId="0" applyFont="0" applyFill="0" applyBorder="0" applyAlignment="0" applyProtection="0"/>
  </cellStyleXfs>
  <cellXfs count="838">
    <xf numFmtId="0" fontId="0" fillId="0" borderId="0" xfId="0"/>
    <xf numFmtId="0" fontId="0" fillId="2" borderId="1" xfId="0" applyFill="1" applyBorder="1"/>
    <xf numFmtId="0" fontId="0" fillId="2" borderId="1" xfId="0" applyFill="1" applyBorder="1" applyAlignment="1">
      <alignment horizontal="center"/>
    </xf>
    <xf numFmtId="0" fontId="0" fillId="2" borderId="2" xfId="0" applyFill="1" applyBorder="1"/>
    <xf numFmtId="0" fontId="0" fillId="3" borderId="0" xfId="0" applyFill="1"/>
    <xf numFmtId="0" fontId="0" fillId="2" borderId="3" xfId="0" applyFill="1" applyBorder="1"/>
    <xf numFmtId="0" fontId="0" fillId="2" borderId="0" xfId="0" applyFill="1"/>
    <xf numFmtId="0" fontId="0" fillId="2" borderId="4" xfId="0" applyFill="1" applyBorder="1"/>
    <xf numFmtId="0" fontId="3" fillId="2" borderId="5" xfId="0" applyFont="1" applyFill="1" applyBorder="1"/>
    <xf numFmtId="164" fontId="2" fillId="2" borderId="0" xfId="2" applyNumberFormat="1" applyFont="1" applyFill="1" applyAlignment="1">
      <alignment horizontal="center"/>
    </xf>
    <xf numFmtId="0" fontId="5" fillId="2" borderId="0" xfId="0" applyFont="1" applyFill="1" applyAlignment="1">
      <alignment horizontal="center"/>
    </xf>
    <xf numFmtId="165" fontId="2" fillId="2" borderId="0" xfId="1" applyNumberFormat="1" applyFont="1" applyFill="1" applyAlignment="1">
      <alignment horizontal="center"/>
    </xf>
    <xf numFmtId="0" fontId="2" fillId="2" borderId="0" xfId="0" applyFont="1" applyFill="1"/>
    <xf numFmtId="0" fontId="5" fillId="2" borderId="4" xfId="0" applyFont="1" applyFill="1" applyBorder="1" applyAlignment="1">
      <alignment horizontal="center"/>
    </xf>
    <xf numFmtId="0" fontId="2" fillId="3" borderId="0" xfId="0" applyFont="1" applyFill="1"/>
    <xf numFmtId="0" fontId="0" fillId="2" borderId="6" xfId="0" applyFill="1" applyBorder="1"/>
    <xf numFmtId="0" fontId="2" fillId="2" borderId="3" xfId="0" applyFont="1" applyFill="1" applyBorder="1"/>
    <xf numFmtId="165" fontId="4" fillId="2" borderId="0" xfId="1" applyNumberFormat="1" applyFont="1" applyFill="1" applyAlignment="1">
      <alignment horizontal="center"/>
    </xf>
    <xf numFmtId="164" fontId="4" fillId="2" borderId="0" xfId="2" applyNumberFormat="1" applyFont="1" applyFill="1" applyAlignment="1">
      <alignment horizontal="center"/>
    </xf>
    <xf numFmtId="164" fontId="5" fillId="2" borderId="0" xfId="0" applyNumberFormat="1" applyFont="1" applyFill="1" applyAlignment="1">
      <alignment horizontal="center"/>
    </xf>
    <xf numFmtId="166" fontId="2" fillId="2" borderId="0" xfId="1" applyNumberFormat="1" applyFont="1" applyFill="1" applyAlignment="1">
      <alignment horizontal="center"/>
    </xf>
    <xf numFmtId="166" fontId="2" fillId="2" borderId="4" xfId="1" applyNumberFormat="1" applyFont="1" applyFill="1" applyBorder="1" applyAlignment="1">
      <alignment horizontal="center"/>
    </xf>
    <xf numFmtId="166" fontId="0" fillId="2" borderId="0" xfId="1" applyNumberFormat="1" applyFont="1" applyFill="1" applyAlignment="1">
      <alignment horizontal="center"/>
    </xf>
    <xf numFmtId="166" fontId="0" fillId="2" borderId="4" xfId="1" applyNumberFormat="1" applyFont="1" applyFill="1" applyBorder="1" applyAlignment="1">
      <alignment horizontal="center"/>
    </xf>
    <xf numFmtId="166" fontId="0" fillId="2" borderId="3" xfId="1" applyNumberFormat="1" applyFont="1" applyFill="1" applyBorder="1" applyAlignment="1">
      <alignment horizontal="center"/>
    </xf>
    <xf numFmtId="166" fontId="2" fillId="2" borderId="3" xfId="1" applyNumberFormat="1" applyFont="1" applyFill="1" applyBorder="1" applyAlignment="1">
      <alignment horizontal="center"/>
    </xf>
    <xf numFmtId="166" fontId="2" fillId="2" borderId="0" xfId="0" applyNumberFormat="1" applyFont="1" applyFill="1"/>
    <xf numFmtId="166" fontId="1" fillId="2" borderId="3" xfId="1" applyNumberFormat="1" applyFill="1" applyBorder="1" applyAlignment="1">
      <alignment horizontal="center"/>
    </xf>
    <xf numFmtId="166" fontId="1" fillId="2" borderId="0" xfId="1" applyNumberFormat="1" applyFill="1" applyAlignment="1">
      <alignment horizontal="center"/>
    </xf>
    <xf numFmtId="166" fontId="1" fillId="2" borderId="4" xfId="1" applyNumberFormat="1" applyFill="1" applyBorder="1" applyAlignment="1">
      <alignment horizontal="center"/>
    </xf>
    <xf numFmtId="166" fontId="0" fillId="2" borderId="0" xfId="0" applyNumberFormat="1" applyFill="1"/>
    <xf numFmtId="166" fontId="6" fillId="2" borderId="3"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4" xfId="1" applyNumberFormat="1" applyFont="1" applyFill="1" applyBorder="1" applyAlignment="1">
      <alignment horizontal="center"/>
    </xf>
    <xf numFmtId="0" fontId="7" fillId="2" borderId="3" xfId="0" applyFont="1" applyFill="1" applyBorder="1"/>
    <xf numFmtId="0" fontId="7" fillId="2" borderId="0" xfId="0" applyFont="1" applyFill="1"/>
    <xf numFmtId="166" fontId="0" fillId="2" borderId="0" xfId="1" applyNumberFormat="1" applyFont="1" applyFill="1"/>
    <xf numFmtId="166" fontId="0" fillId="2" borderId="4" xfId="1" applyNumberFormat="1" applyFont="1" applyFill="1" applyBorder="1"/>
    <xf numFmtId="166" fontId="1" fillId="2" borderId="0" xfId="1" applyNumberFormat="1" applyFill="1"/>
    <xf numFmtId="166" fontId="2" fillId="2" borderId="0" xfId="1" applyNumberFormat="1" applyFont="1" applyFill="1"/>
    <xf numFmtId="166" fontId="2" fillId="2" borderId="4" xfId="1" applyNumberFormat="1" applyFont="1" applyFill="1" applyBorder="1"/>
    <xf numFmtId="166" fontId="0" fillId="2" borderId="4" xfId="0" applyNumberFormat="1" applyFill="1" applyBorder="1"/>
    <xf numFmtId="0" fontId="8" fillId="2" borderId="3" xfId="0" applyFont="1" applyFill="1" applyBorder="1"/>
    <xf numFmtId="0" fontId="5" fillId="2" borderId="3" xfId="0" applyFont="1" applyFill="1" applyBorder="1"/>
    <xf numFmtId="43" fontId="2" fillId="2" borderId="0" xfId="1" applyFont="1" applyFill="1"/>
    <xf numFmtId="167" fontId="2" fillId="2" borderId="0" xfId="3" applyNumberFormat="1" applyFont="1" applyFill="1" applyAlignment="1">
      <alignment horizontal="center"/>
    </xf>
    <xf numFmtId="166" fontId="2" fillId="2" borderId="0" xfId="3" applyNumberFormat="1" applyFont="1" applyFill="1" applyAlignment="1">
      <alignment horizontal="center"/>
    </xf>
    <xf numFmtId="167" fontId="2" fillId="2" borderId="0" xfId="3" applyNumberFormat="1" applyFont="1" applyFill="1"/>
    <xf numFmtId="166" fontId="2" fillId="2" borderId="4" xfId="3" applyNumberFormat="1" applyFont="1" applyFill="1" applyBorder="1"/>
    <xf numFmtId="0" fontId="2" fillId="2" borderId="6" xfId="0" applyFont="1" applyFill="1" applyBorder="1"/>
    <xf numFmtId="166" fontId="2" fillId="2" borderId="6" xfId="1" applyNumberFormat="1" applyFont="1" applyFill="1" applyBorder="1" applyAlignment="1">
      <alignment horizontal="center"/>
    </xf>
    <xf numFmtId="166" fontId="2" fillId="2" borderId="7" xfId="1" applyNumberFormat="1" applyFont="1" applyFill="1" applyBorder="1" applyAlignment="1">
      <alignment horizontal="center"/>
    </xf>
    <xf numFmtId="167" fontId="2" fillId="2" borderId="7" xfId="3" applyNumberFormat="1" applyFont="1" applyFill="1" applyBorder="1" applyAlignment="1">
      <alignment horizontal="center"/>
    </xf>
    <xf numFmtId="166" fontId="2" fillId="2" borderId="8" xfId="1" applyNumberFormat="1" applyFont="1" applyFill="1" applyBorder="1" applyAlignment="1">
      <alignment horizontal="center"/>
    </xf>
    <xf numFmtId="0" fontId="2" fillId="2" borderId="7" xfId="0" applyFont="1" applyFill="1" applyBorder="1"/>
    <xf numFmtId="166" fontId="2" fillId="2" borderId="7" xfId="1" applyNumberFormat="1" applyFont="1" applyFill="1" applyBorder="1"/>
    <xf numFmtId="166" fontId="2" fillId="2" borderId="7" xfId="3" applyNumberFormat="1" applyFont="1" applyFill="1" applyBorder="1" applyAlignment="1">
      <alignment horizontal="center"/>
    </xf>
    <xf numFmtId="166" fontId="2" fillId="2" borderId="7" xfId="0" applyNumberFormat="1" applyFont="1" applyFill="1" applyBorder="1"/>
    <xf numFmtId="167" fontId="2" fillId="2" borderId="7" xfId="3" applyNumberFormat="1" applyFont="1" applyFill="1" applyBorder="1"/>
    <xf numFmtId="166" fontId="2" fillId="2" borderId="8" xfId="3" applyNumberFormat="1" applyFont="1" applyFill="1" applyBorder="1"/>
    <xf numFmtId="166" fontId="0" fillId="2" borderId="7" xfId="0" applyNumberFormat="1" applyFill="1" applyBorder="1"/>
    <xf numFmtId="167" fontId="2" fillId="3" borderId="0" xfId="1" applyNumberFormat="1" applyFont="1" applyFill="1" applyAlignment="1">
      <alignment horizontal="center"/>
    </xf>
    <xf numFmtId="167" fontId="2" fillId="3" borderId="0" xfId="1" applyNumberFormat="1" applyFont="1" applyFill="1"/>
    <xf numFmtId="166" fontId="2" fillId="3" borderId="0" xfId="1" applyNumberFormat="1" applyFont="1" applyFill="1" applyAlignment="1">
      <alignment horizontal="center"/>
    </xf>
    <xf numFmtId="166" fontId="2" fillId="3" borderId="0" xfId="1" applyNumberFormat="1" applyFont="1" applyFill="1"/>
    <xf numFmtId="166" fontId="0" fillId="3" borderId="0" xfId="0" applyNumberFormat="1" applyFill="1"/>
    <xf numFmtId="166" fontId="0" fillId="3" borderId="0" xfId="1" applyNumberFormat="1" applyFont="1" applyFill="1"/>
    <xf numFmtId="166" fontId="0" fillId="3" borderId="0" xfId="1" applyNumberFormat="1" applyFont="1" applyFill="1" applyAlignment="1">
      <alignment horizontal="center"/>
    </xf>
    <xf numFmtId="167" fontId="2" fillId="2" borderId="4" xfId="3" applyNumberFormat="1" applyFont="1" applyFill="1" applyBorder="1" applyAlignment="1">
      <alignment horizontal="center"/>
    </xf>
    <xf numFmtId="167" fontId="2" fillId="2" borderId="3" xfId="3" applyNumberFormat="1" applyFont="1" applyFill="1" applyBorder="1" applyAlignment="1">
      <alignment horizontal="center"/>
    </xf>
    <xf numFmtId="167" fontId="2" fillId="2" borderId="4" xfId="3" applyNumberFormat="1" applyFont="1" applyFill="1" applyBorder="1"/>
    <xf numFmtId="167" fontId="2" fillId="2" borderId="8" xfId="3" applyNumberFormat="1" applyFont="1" applyFill="1" applyBorder="1" applyAlignment="1">
      <alignment horizontal="center"/>
    </xf>
    <xf numFmtId="167" fontId="2" fillId="2" borderId="6" xfId="3" applyNumberFormat="1" applyFont="1" applyFill="1" applyBorder="1" applyAlignment="1">
      <alignment horizontal="center"/>
    </xf>
    <xf numFmtId="167" fontId="2" fillId="2" borderId="8" xfId="3" applyNumberFormat="1" applyFont="1" applyFill="1" applyBorder="1"/>
    <xf numFmtId="165" fontId="8" fillId="2" borderId="4" xfId="1" applyNumberFormat="1" applyFont="1" applyFill="1" applyBorder="1" applyAlignment="1">
      <alignment horizontal="center"/>
    </xf>
    <xf numFmtId="164" fontId="3" fillId="2" borderId="0" xfId="2" applyNumberFormat="1" applyFont="1" applyFill="1" applyAlignment="1">
      <alignment horizontal="center"/>
    </xf>
    <xf numFmtId="0" fontId="5" fillId="2" borderId="3" xfId="0" applyFont="1" applyFill="1" applyBorder="1" applyAlignment="1">
      <alignment horizontal="center"/>
    </xf>
    <xf numFmtId="0" fontId="8" fillId="2" borderId="0" xfId="0" applyFont="1" applyFill="1"/>
    <xf numFmtId="0" fontId="5" fillId="2" borderId="5" xfId="0" applyFont="1" applyFill="1" applyBorder="1"/>
    <xf numFmtId="164" fontId="2" fillId="2" borderId="9" xfId="2" applyNumberFormat="1" applyFont="1" applyFill="1" applyBorder="1" applyAlignment="1">
      <alignment horizontal="center"/>
    </xf>
    <xf numFmtId="0" fontId="5" fillId="2" borderId="5" xfId="0" applyFont="1" applyFill="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166" fontId="0" fillId="2" borderId="3" xfId="1" applyNumberFormat="1" applyFont="1" applyFill="1" applyBorder="1"/>
    <xf numFmtId="166" fontId="2" fillId="2" borderId="3" xfId="1" applyNumberFormat="1" applyFont="1" applyFill="1" applyBorder="1"/>
    <xf numFmtId="166" fontId="1" fillId="2" borderId="3" xfId="1" applyNumberFormat="1" applyFill="1" applyBorder="1"/>
    <xf numFmtId="166" fontId="1" fillId="2" borderId="4" xfId="1" applyNumberFormat="1" applyFill="1" applyBorder="1"/>
    <xf numFmtId="0" fontId="8" fillId="2" borderId="6" xfId="0" applyFont="1" applyFill="1" applyBorder="1"/>
    <xf numFmtId="0" fontId="3" fillId="2" borderId="3" xfId="0" applyFont="1" applyFill="1" applyBorder="1"/>
    <xf numFmtId="0" fontId="3" fillId="2" borderId="0" xfId="0" applyFont="1" applyFill="1"/>
    <xf numFmtId="165" fontId="8" fillId="2" borderId="0" xfId="1" applyNumberFormat="1" applyFont="1" applyFill="1" applyAlignment="1">
      <alignment horizontal="center"/>
    </xf>
    <xf numFmtId="0" fontId="2" fillId="2" borderId="0" xfId="0" applyFont="1" applyFill="1" applyAlignment="1">
      <alignment horizontal="center" wrapText="1"/>
    </xf>
    <xf numFmtId="0" fontId="8" fillId="2" borderId="1" xfId="0" applyFont="1" applyFill="1" applyBorder="1"/>
    <xf numFmtId="0" fontId="8" fillId="2" borderId="1" xfId="0" applyFont="1" applyFill="1" applyBorder="1" applyAlignment="1">
      <alignment horizontal="center"/>
    </xf>
    <xf numFmtId="0" fontId="8" fillId="2" borderId="2" xfId="0" applyFont="1" applyFill="1" applyBorder="1"/>
    <xf numFmtId="0" fontId="8" fillId="3" borderId="0" xfId="0" applyFont="1" applyFill="1"/>
    <xf numFmtId="0" fontId="8" fillId="2" borderId="4" xfId="0" applyFont="1" applyFill="1" applyBorder="1"/>
    <xf numFmtId="0" fontId="9" fillId="2" borderId="0" xfId="0" applyFont="1" applyFill="1" applyAlignment="1">
      <alignment horizontal="center"/>
    </xf>
    <xf numFmtId="165" fontId="3" fillId="2" borderId="0" xfId="1" applyNumberFormat="1" applyFont="1" applyFill="1" applyAlignment="1">
      <alignment horizontal="center"/>
    </xf>
    <xf numFmtId="0" fontId="9" fillId="2" borderId="4" xfId="0" applyFont="1" applyFill="1" applyBorder="1" applyAlignment="1">
      <alignment horizontal="center"/>
    </xf>
    <xf numFmtId="0" fontId="3" fillId="3" borderId="0" xfId="0" applyFont="1" applyFill="1"/>
    <xf numFmtId="0" fontId="8" fillId="0" borderId="0" xfId="0" applyFont="1"/>
    <xf numFmtId="164" fontId="9" fillId="2" borderId="0" xfId="0" applyNumberFormat="1" applyFont="1" applyFill="1" applyAlignment="1">
      <alignment horizontal="center"/>
    </xf>
    <xf numFmtId="166" fontId="3" fillId="2" borderId="0" xfId="1" applyNumberFormat="1" applyFont="1" applyFill="1" applyAlignment="1">
      <alignment horizontal="center"/>
    </xf>
    <xf numFmtId="166" fontId="3" fillId="2" borderId="4"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4" xfId="1" applyNumberFormat="1" applyFont="1" applyFill="1" applyBorder="1" applyAlignment="1">
      <alignment horizontal="center"/>
    </xf>
    <xf numFmtId="166" fontId="8" fillId="2" borderId="3" xfId="1" applyNumberFormat="1" applyFont="1" applyFill="1" applyBorder="1" applyAlignment="1">
      <alignment horizontal="center"/>
    </xf>
    <xf numFmtId="166" fontId="3" fillId="2" borderId="3" xfId="1" applyNumberFormat="1" applyFont="1" applyFill="1" applyBorder="1" applyAlignment="1">
      <alignment horizontal="center"/>
    </xf>
    <xf numFmtId="166" fontId="3" fillId="2" borderId="0" xfId="0" applyNumberFormat="1" applyFont="1" applyFill="1"/>
    <xf numFmtId="166" fontId="8" fillId="2" borderId="0" xfId="0" applyNumberFormat="1" applyFont="1" applyFill="1"/>
    <xf numFmtId="166" fontId="10" fillId="2" borderId="3" xfId="1" applyNumberFormat="1" applyFont="1" applyFill="1" applyBorder="1" applyAlignment="1">
      <alignment horizontal="center"/>
    </xf>
    <xf numFmtId="166" fontId="10" fillId="2" borderId="0" xfId="1" applyNumberFormat="1" applyFont="1" applyFill="1" applyAlignment="1">
      <alignment horizontal="center"/>
    </xf>
    <xf numFmtId="166" fontId="10" fillId="2" borderId="4" xfId="1" applyNumberFormat="1" applyFont="1" applyFill="1" applyBorder="1" applyAlignment="1">
      <alignment horizontal="center"/>
    </xf>
    <xf numFmtId="0" fontId="11" fillId="2" borderId="3" xfId="0" applyFont="1" applyFill="1" applyBorder="1"/>
    <xf numFmtId="0" fontId="11" fillId="2" borderId="0" xfId="0" applyFont="1" applyFill="1"/>
    <xf numFmtId="166" fontId="8" fillId="2" borderId="0" xfId="1" applyNumberFormat="1" applyFont="1" applyFill="1"/>
    <xf numFmtId="166" fontId="8" fillId="2" borderId="4" xfId="1" applyNumberFormat="1" applyFont="1" applyFill="1" applyBorder="1"/>
    <xf numFmtId="166" fontId="3" fillId="2" borderId="0" xfId="1" applyNumberFormat="1" applyFont="1" applyFill="1"/>
    <xf numFmtId="166" fontId="3" fillId="2" borderId="4" xfId="1" applyNumberFormat="1" applyFont="1" applyFill="1" applyBorder="1"/>
    <xf numFmtId="166" fontId="8" fillId="2" borderId="4" xfId="0" applyNumberFormat="1" applyFont="1" applyFill="1" applyBorder="1"/>
    <xf numFmtId="0" fontId="9" fillId="2" borderId="3" xfId="0" applyFont="1" applyFill="1" applyBorder="1"/>
    <xf numFmtId="43" fontId="3" fillId="2" borderId="0" xfId="1" applyFont="1" applyFill="1"/>
    <xf numFmtId="167" fontId="3" fillId="2" borderId="0" xfId="3" applyNumberFormat="1" applyFont="1" applyFill="1" applyAlignment="1">
      <alignment horizontal="center"/>
    </xf>
    <xf numFmtId="166" fontId="3" fillId="2" borderId="0" xfId="3" applyNumberFormat="1" applyFont="1" applyFill="1" applyAlignment="1">
      <alignment horizontal="center"/>
    </xf>
    <xf numFmtId="167" fontId="3" fillId="2" borderId="0" xfId="3" applyNumberFormat="1" applyFont="1" applyFill="1"/>
    <xf numFmtId="166" fontId="3" fillId="2" borderId="4" xfId="3" applyNumberFormat="1" applyFont="1" applyFill="1" applyBorder="1"/>
    <xf numFmtId="0" fontId="3" fillId="2" borderId="6" xfId="0" applyFont="1" applyFill="1" applyBorder="1"/>
    <xf numFmtId="166" fontId="3" fillId="2" borderId="6" xfId="1" applyNumberFormat="1" applyFont="1" applyFill="1" applyBorder="1" applyAlignment="1">
      <alignment horizontal="center"/>
    </xf>
    <xf numFmtId="166" fontId="3" fillId="2" borderId="7" xfId="1" applyNumberFormat="1" applyFont="1" applyFill="1" applyBorder="1" applyAlignment="1">
      <alignment horizontal="center"/>
    </xf>
    <xf numFmtId="167" fontId="3" fillId="2" borderId="7" xfId="3" applyNumberFormat="1" applyFont="1" applyFill="1" applyBorder="1" applyAlignment="1">
      <alignment horizontal="center"/>
    </xf>
    <xf numFmtId="166" fontId="3" fillId="2" borderId="8" xfId="1" applyNumberFormat="1" applyFont="1" applyFill="1" applyBorder="1" applyAlignment="1">
      <alignment horizontal="center"/>
    </xf>
    <xf numFmtId="0" fontId="3" fillId="2" borderId="7" xfId="0" applyFont="1" applyFill="1" applyBorder="1"/>
    <xf numFmtId="166" fontId="3" fillId="2" borderId="7" xfId="1" applyNumberFormat="1" applyFont="1" applyFill="1" applyBorder="1"/>
    <xf numFmtId="166" fontId="3" fillId="2" borderId="7" xfId="3" applyNumberFormat="1" applyFont="1" applyFill="1" applyBorder="1" applyAlignment="1">
      <alignment horizontal="center"/>
    </xf>
    <xf numFmtId="166" fontId="3" fillId="2" borderId="7" xfId="0" applyNumberFormat="1" applyFont="1" applyFill="1" applyBorder="1"/>
    <xf numFmtId="167" fontId="3" fillId="2" borderId="7" xfId="3" applyNumberFormat="1" applyFont="1" applyFill="1" applyBorder="1"/>
    <xf numFmtId="166" fontId="3" fillId="2" borderId="8" xfId="3" applyNumberFormat="1" applyFont="1" applyFill="1" applyBorder="1"/>
    <xf numFmtId="166" fontId="8" fillId="2" borderId="7" xfId="0" applyNumberFormat="1" applyFont="1" applyFill="1" applyBorder="1"/>
    <xf numFmtId="167" fontId="3" fillId="3" borderId="0" xfId="1" applyNumberFormat="1" applyFont="1" applyFill="1" applyAlignment="1">
      <alignment horizontal="center"/>
    </xf>
    <xf numFmtId="167" fontId="3" fillId="3" borderId="0" xfId="1" applyNumberFormat="1" applyFont="1" applyFill="1"/>
    <xf numFmtId="166" fontId="3" fillId="3" borderId="0" xfId="1" applyNumberFormat="1" applyFont="1" applyFill="1" applyAlignment="1">
      <alignment horizontal="center"/>
    </xf>
    <xf numFmtId="166" fontId="3" fillId="3" borderId="0" xfId="1" applyNumberFormat="1" applyFont="1" applyFill="1"/>
    <xf numFmtId="166" fontId="8" fillId="3" borderId="0" xfId="0" applyNumberFormat="1" applyFont="1" applyFill="1"/>
    <xf numFmtId="166" fontId="8" fillId="3" borderId="0" xfId="1" applyNumberFormat="1" applyFont="1" applyFill="1" applyAlignment="1">
      <alignment horizontal="center"/>
    </xf>
    <xf numFmtId="167" fontId="3" fillId="2" borderId="4" xfId="3" applyNumberFormat="1" applyFont="1" applyFill="1" applyBorder="1" applyAlignment="1">
      <alignment horizontal="center"/>
    </xf>
    <xf numFmtId="167" fontId="3" fillId="2" borderId="3" xfId="3" applyNumberFormat="1" applyFont="1" applyFill="1" applyBorder="1" applyAlignment="1">
      <alignment horizontal="center"/>
    </xf>
    <xf numFmtId="167" fontId="3" fillId="2" borderId="4" xfId="3" applyNumberFormat="1" applyFont="1" applyFill="1" applyBorder="1"/>
    <xf numFmtId="167" fontId="8" fillId="2" borderId="0" xfId="3" applyNumberFormat="1" applyFont="1" applyFill="1"/>
    <xf numFmtId="167" fontId="3" fillId="2" borderId="8" xfId="3" applyNumberFormat="1" applyFont="1" applyFill="1" applyBorder="1" applyAlignment="1">
      <alignment horizontal="center"/>
    </xf>
    <xf numFmtId="167" fontId="3" fillId="2" borderId="6" xfId="3" applyNumberFormat="1" applyFont="1" applyFill="1" applyBorder="1" applyAlignment="1">
      <alignment horizontal="center"/>
    </xf>
    <xf numFmtId="167" fontId="3" fillId="2" borderId="8" xfId="3" applyNumberFormat="1" applyFont="1" applyFill="1" applyBorder="1"/>
    <xf numFmtId="167" fontId="8" fillId="2" borderId="7" xfId="3" applyNumberFormat="1" applyFont="1" applyFill="1" applyBorder="1"/>
    <xf numFmtId="0" fontId="9" fillId="2" borderId="3" xfId="0" applyFont="1" applyFill="1" applyBorder="1" applyAlignment="1">
      <alignment horizontal="center"/>
    </xf>
    <xf numFmtId="166" fontId="11" fillId="2" borderId="3" xfId="1" applyNumberFormat="1" applyFont="1" applyFill="1" applyBorder="1" applyAlignment="1">
      <alignment horizontal="center"/>
    </xf>
    <xf numFmtId="166" fontId="11" fillId="2" borderId="0" xfId="1" applyNumberFormat="1" applyFont="1" applyFill="1" applyAlignment="1">
      <alignment horizontal="center"/>
    </xf>
    <xf numFmtId="166" fontId="11" fillId="2" borderId="4" xfId="1" applyNumberFormat="1" applyFont="1" applyFill="1" applyBorder="1" applyAlignment="1">
      <alignment horizontal="center"/>
    </xf>
    <xf numFmtId="166" fontId="11" fillId="2" borderId="0" xfId="0" applyNumberFormat="1" applyFont="1" applyFill="1"/>
    <xf numFmtId="0" fontId="11" fillId="3" borderId="0" xfId="0" applyFont="1" applyFill="1"/>
    <xf numFmtId="166" fontId="9" fillId="2" borderId="0" xfId="0" applyNumberFormat="1" applyFont="1" applyFill="1"/>
    <xf numFmtId="166" fontId="7" fillId="2" borderId="3"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4" xfId="1" applyNumberFormat="1" applyFont="1" applyFill="1" applyBorder="1" applyAlignment="1">
      <alignment horizontal="center"/>
    </xf>
    <xf numFmtId="0" fontId="7" fillId="3" borderId="0" xfId="0" applyFont="1" applyFill="1"/>
    <xf numFmtId="166" fontId="7" fillId="2" borderId="0" xfId="0" applyNumberFormat="1" applyFont="1" applyFill="1"/>
    <xf numFmtId="166" fontId="5" fillId="2" borderId="0" xfId="0" applyNumberFormat="1" applyFont="1" applyFill="1"/>
    <xf numFmtId="166" fontId="3" fillId="2" borderId="0" xfId="1" applyNumberFormat="1" applyFont="1" applyFill="1" applyAlignment="1">
      <alignment horizontal="left"/>
    </xf>
    <xf numFmtId="167" fontId="0" fillId="2" borderId="0" xfId="3" applyNumberFormat="1" applyFont="1" applyFill="1"/>
    <xf numFmtId="167" fontId="0" fillId="2" borderId="7" xfId="3" applyNumberFormat="1" applyFont="1" applyFill="1" applyBorder="1"/>
    <xf numFmtId="165" fontId="12" fillId="2" borderId="7" xfId="1" applyNumberFormat="1" applyFont="1" applyFill="1" applyBorder="1" applyAlignment="1">
      <alignment horizontal="center"/>
    </xf>
    <xf numFmtId="166" fontId="8" fillId="2" borderId="3" xfId="1" applyNumberFormat="1" applyFont="1" applyFill="1" applyBorder="1"/>
    <xf numFmtId="166" fontId="8" fillId="2" borderId="3" xfId="0" applyNumberFormat="1" applyFont="1" applyFill="1" applyBorder="1"/>
    <xf numFmtId="166" fontId="3" fillId="2" borderId="3" xfId="1" applyNumberFormat="1" applyFont="1" applyFill="1" applyBorder="1"/>
    <xf numFmtId="0" fontId="3" fillId="2" borderId="0" xfId="0" applyFont="1" applyFill="1" applyAlignment="1">
      <alignment horizontal="center" wrapText="1"/>
    </xf>
    <xf numFmtId="0" fontId="8" fillId="2" borderId="0" xfId="0" applyFont="1" applyFill="1" applyAlignment="1">
      <alignment horizontal="center"/>
    </xf>
    <xf numFmtId="166" fontId="3" fillId="2" borderId="0" xfId="0" applyNumberFormat="1" applyFont="1" applyFill="1" applyAlignment="1">
      <alignment horizontal="center"/>
    </xf>
    <xf numFmtId="166" fontId="8" fillId="2" borderId="0" xfId="0" applyNumberFormat="1" applyFont="1" applyFill="1" applyAlignment="1">
      <alignment horizontal="center"/>
    </xf>
    <xf numFmtId="167" fontId="8" fillId="2" borderId="0" xfId="3" applyNumberFormat="1" applyFont="1" applyFill="1" applyAlignment="1">
      <alignment horizontal="center"/>
    </xf>
    <xf numFmtId="0" fontId="8" fillId="2" borderId="3" xfId="0" applyFont="1" applyFill="1" applyBorder="1" applyAlignment="1">
      <alignment horizontal="center"/>
    </xf>
    <xf numFmtId="166" fontId="3" fillId="2" borderId="3" xfId="0" applyNumberFormat="1" applyFont="1" applyFill="1" applyBorder="1" applyAlignment="1">
      <alignment horizontal="center"/>
    </xf>
    <xf numFmtId="166" fontId="8" fillId="2" borderId="3" xfId="0" applyNumberFormat="1" applyFont="1" applyFill="1" applyBorder="1" applyAlignment="1">
      <alignment horizontal="center"/>
    </xf>
    <xf numFmtId="167" fontId="8" fillId="2" borderId="3" xfId="3" applyNumberFormat="1" applyFont="1" applyFill="1" applyBorder="1" applyAlignment="1">
      <alignment horizontal="center"/>
    </xf>
    <xf numFmtId="0" fontId="8" fillId="2" borderId="4" xfId="0" applyFont="1" applyFill="1" applyBorder="1" applyAlignment="1">
      <alignment horizontal="center"/>
    </xf>
    <xf numFmtId="166" fontId="3" fillId="2" borderId="4" xfId="0" applyNumberFormat="1" applyFont="1" applyFill="1" applyBorder="1" applyAlignment="1">
      <alignment horizontal="center"/>
    </xf>
    <xf numFmtId="166" fontId="8" fillId="2" borderId="4" xfId="0" applyNumberFormat="1" applyFont="1" applyFill="1" applyBorder="1" applyAlignment="1">
      <alignment horizontal="center"/>
    </xf>
    <xf numFmtId="167" fontId="8" fillId="2" borderId="4" xfId="3" applyNumberFormat="1" applyFont="1" applyFill="1" applyBorder="1" applyAlignment="1">
      <alignment horizontal="center"/>
    </xf>
    <xf numFmtId="165" fontId="12" fillId="2" borderId="0" xfId="1" applyNumberFormat="1" applyFont="1" applyFill="1" applyAlignment="1">
      <alignment horizontal="center"/>
    </xf>
    <xf numFmtId="166" fontId="11" fillId="2" borderId="3" xfId="0" applyNumberFormat="1" applyFont="1" applyFill="1" applyBorder="1" applyAlignment="1">
      <alignment horizontal="center"/>
    </xf>
    <xf numFmtId="166" fontId="11" fillId="2" borderId="0" xfId="0" applyNumberFormat="1" applyFont="1" applyFill="1" applyAlignment="1">
      <alignment horizontal="center"/>
    </xf>
    <xf numFmtId="166" fontId="11" fillId="2" borderId="4" xfId="0" applyNumberFormat="1" applyFont="1" applyFill="1" applyBorder="1" applyAlignment="1">
      <alignment horizontal="center"/>
    </xf>
    <xf numFmtId="166" fontId="11" fillId="2" borderId="0" xfId="1" applyNumberFormat="1" applyFont="1" applyFill="1"/>
    <xf numFmtId="166" fontId="11" fillId="2" borderId="4" xfId="1" applyNumberFormat="1" applyFont="1" applyFill="1" applyBorder="1"/>
    <xf numFmtId="166" fontId="7" fillId="2" borderId="0" xfId="1" applyNumberFormat="1" applyFont="1" applyFill="1"/>
    <xf numFmtId="166" fontId="7" fillId="2" borderId="4" xfId="1" applyNumberFormat="1" applyFont="1" applyFill="1" applyBorder="1"/>
    <xf numFmtId="0" fontId="5" fillId="3" borderId="0" xfId="0" applyFont="1" applyFill="1"/>
    <xf numFmtId="166" fontId="11" fillId="2" borderId="3" xfId="1" applyNumberFormat="1" applyFont="1" applyFill="1" applyBorder="1"/>
    <xf numFmtId="166" fontId="9" fillId="2" borderId="0" xfId="1" applyNumberFormat="1" applyFont="1" applyFill="1" applyAlignment="1">
      <alignment horizontal="center"/>
    </xf>
    <xf numFmtId="166" fontId="13" fillId="2" borderId="3" xfId="1" applyNumberFormat="1" applyFont="1" applyFill="1" applyBorder="1" applyAlignment="1">
      <alignment horizontal="center"/>
    </xf>
    <xf numFmtId="166" fontId="7" fillId="2" borderId="3" xfId="1" applyNumberFormat="1" applyFont="1" applyFill="1" applyBorder="1"/>
    <xf numFmtId="0" fontId="2" fillId="2" borderId="10" xfId="0" applyFont="1" applyFill="1" applyBorder="1" applyAlignment="1">
      <alignment horizontal="center"/>
    </xf>
    <xf numFmtId="166" fontId="10" fillId="2" borderId="3" xfId="0" applyNumberFormat="1" applyFont="1" applyFill="1" applyBorder="1" applyAlignment="1">
      <alignment horizontal="center"/>
    </xf>
    <xf numFmtId="166" fontId="10" fillId="2" borderId="0" xfId="0" applyNumberFormat="1" applyFont="1" applyFill="1" applyAlignment="1">
      <alignment horizontal="center"/>
    </xf>
    <xf numFmtId="0" fontId="9" fillId="2" borderId="5" xfId="0" applyFont="1" applyFill="1" applyBorder="1"/>
    <xf numFmtId="0" fontId="12" fillId="2" borderId="3" xfId="0" applyFont="1" applyFill="1" applyBorder="1"/>
    <xf numFmtId="166" fontId="3" fillId="2" borderId="3" xfId="3" applyNumberFormat="1" applyFont="1" applyFill="1" applyBorder="1" applyAlignment="1">
      <alignment horizontal="center"/>
    </xf>
    <xf numFmtId="166" fontId="3" fillId="2" borderId="6" xfId="3" applyNumberFormat="1" applyFont="1" applyFill="1" applyBorder="1" applyAlignment="1">
      <alignment horizontal="center"/>
    </xf>
    <xf numFmtId="165" fontId="1" fillId="2" borderId="4" xfId="1" applyNumberFormat="1" applyFill="1" applyBorder="1" applyAlignment="1">
      <alignment horizontal="center"/>
    </xf>
    <xf numFmtId="164" fontId="1" fillId="2" borderId="12" xfId="2" applyNumberFormat="1" applyFill="1" applyBorder="1" applyAlignment="1">
      <alignment horizontal="center"/>
    </xf>
    <xf numFmtId="164" fontId="1" fillId="2" borderId="8" xfId="2" applyNumberFormat="1" applyFill="1" applyBorder="1" applyAlignment="1">
      <alignment horizontal="center"/>
    </xf>
    <xf numFmtId="164" fontId="1" fillId="2" borderId="4" xfId="2" applyNumberFormat="1" applyFill="1" applyBorder="1" applyAlignment="1">
      <alignment horizontal="center"/>
    </xf>
    <xf numFmtId="164" fontId="1" fillId="2" borderId="0" xfId="2" applyNumberFormat="1" applyFill="1" applyAlignment="1">
      <alignment horizontal="center"/>
    </xf>
    <xf numFmtId="164" fontId="1" fillId="2" borderId="7" xfId="2" applyNumberFormat="1" applyFill="1" applyBorder="1" applyAlignment="1">
      <alignment horizontal="center"/>
    </xf>
    <xf numFmtId="166" fontId="5" fillId="2" borderId="3" xfId="1" applyNumberFormat="1" applyFont="1" applyFill="1" applyBorder="1"/>
    <xf numFmtId="166" fontId="5" fillId="2" borderId="0" xfId="1" applyNumberFormat="1" applyFont="1" applyFill="1"/>
    <xf numFmtId="166" fontId="5" fillId="2" borderId="4" xfId="1" applyNumberFormat="1" applyFont="1" applyFill="1" applyBorder="1"/>
    <xf numFmtId="0" fontId="5" fillId="2" borderId="0" xfId="0" applyFont="1" applyFill="1"/>
    <xf numFmtId="166" fontId="12" fillId="2" borderId="4" xfId="1" applyNumberFormat="1" applyFont="1" applyFill="1" applyBorder="1" applyAlignment="1">
      <alignment horizontal="center"/>
    </xf>
    <xf numFmtId="165" fontId="1" fillId="2" borderId="8" xfId="1" applyNumberFormat="1" applyFill="1" applyBorder="1" applyAlignment="1">
      <alignment horizontal="center"/>
    </xf>
    <xf numFmtId="165" fontId="1" fillId="2" borderId="0" xfId="1" applyNumberFormat="1" applyFill="1" applyAlignment="1">
      <alignment horizontal="center"/>
    </xf>
    <xf numFmtId="165" fontId="8" fillId="2" borderId="8" xfId="1" applyNumberFormat="1" applyFont="1" applyFill="1" applyBorder="1" applyAlignment="1">
      <alignment horizontal="center"/>
    </xf>
    <xf numFmtId="167" fontId="2" fillId="2" borderId="0" xfId="0" applyNumberFormat="1" applyFont="1" applyFill="1"/>
    <xf numFmtId="167" fontId="2" fillId="2" borderId="7" xfId="0" applyNumberFormat="1" applyFont="1" applyFill="1" applyBorder="1"/>
    <xf numFmtId="0" fontId="9" fillId="2" borderId="0" xfId="0" applyFont="1" applyFill="1"/>
    <xf numFmtId="165" fontId="8" fillId="2" borderId="4" xfId="1" applyNumberFormat="1" applyFont="1" applyFill="1" applyBorder="1"/>
    <xf numFmtId="164" fontId="3" fillId="2" borderId="9" xfId="2" applyNumberFormat="1" applyFont="1" applyFill="1" applyBorder="1"/>
    <xf numFmtId="0" fontId="9" fillId="2" borderId="13" xfId="0" applyFont="1" applyFill="1" applyBorder="1" applyAlignment="1">
      <alignment horizontal="center"/>
    </xf>
    <xf numFmtId="0" fontId="9" fillId="2" borderId="14" xfId="0" applyFont="1" applyFill="1" applyBorder="1" applyAlignment="1">
      <alignment horizontal="center"/>
    </xf>
    <xf numFmtId="0" fontId="9" fillId="2" borderId="15" xfId="0" applyFont="1" applyFill="1" applyBorder="1" applyAlignment="1">
      <alignment horizontal="center"/>
    </xf>
    <xf numFmtId="37" fontId="3" fillId="2" borderId="13" xfId="1" applyNumberFormat="1" applyFont="1" applyFill="1" applyBorder="1" applyAlignment="1">
      <alignment horizontal="center"/>
    </xf>
    <xf numFmtId="37" fontId="3" fillId="2" borderId="14" xfId="1" applyNumberFormat="1" applyFont="1" applyFill="1" applyBorder="1" applyAlignment="1">
      <alignment horizontal="center"/>
    </xf>
    <xf numFmtId="37" fontId="3" fillId="2" borderId="0" xfId="0" applyNumberFormat="1" applyFont="1" applyFill="1"/>
    <xf numFmtId="37" fontId="3" fillId="2" borderId="15" xfId="1" applyNumberFormat="1" applyFont="1" applyFill="1" applyBorder="1" applyAlignment="1">
      <alignment horizontal="center"/>
    </xf>
    <xf numFmtId="37" fontId="8" fillId="2" borderId="13" xfId="1" applyNumberFormat="1" applyFont="1" applyFill="1" applyBorder="1" applyAlignment="1">
      <alignment horizontal="center"/>
    </xf>
    <xf numFmtId="37" fontId="8" fillId="2" borderId="14" xfId="1" applyNumberFormat="1" applyFont="1" applyFill="1" applyBorder="1" applyAlignment="1">
      <alignment horizontal="center"/>
    </xf>
    <xf numFmtId="37" fontId="8" fillId="2" borderId="0" xfId="0" applyNumberFormat="1" applyFont="1" applyFill="1"/>
    <xf numFmtId="37" fontId="8" fillId="2" borderId="15" xfId="1" applyNumberFormat="1" applyFont="1" applyFill="1" applyBorder="1" applyAlignment="1">
      <alignment horizontal="center"/>
    </xf>
    <xf numFmtId="37" fontId="11" fillId="2" borderId="13" xfId="1" applyNumberFormat="1" applyFont="1" applyFill="1" applyBorder="1" applyAlignment="1">
      <alignment horizontal="center"/>
    </xf>
    <xf numFmtId="37" fontId="11" fillId="2" borderId="14" xfId="1" applyNumberFormat="1" applyFont="1" applyFill="1" applyBorder="1" applyAlignment="1">
      <alignment horizontal="center"/>
    </xf>
    <xf numFmtId="37" fontId="11" fillId="2" borderId="15" xfId="1" applyNumberFormat="1" applyFont="1" applyFill="1" applyBorder="1" applyAlignment="1">
      <alignment horizontal="center"/>
    </xf>
    <xf numFmtId="37" fontId="3" fillId="2" borderId="16" xfId="1" applyNumberFormat="1" applyFont="1" applyFill="1" applyBorder="1" applyAlignment="1">
      <alignment horizontal="center"/>
    </xf>
    <xf numFmtId="37" fontId="3" fillId="2" borderId="17" xfId="1" applyNumberFormat="1" applyFont="1" applyFill="1" applyBorder="1" applyAlignment="1">
      <alignment horizontal="center"/>
    </xf>
    <xf numFmtId="37" fontId="3" fillId="2" borderId="18" xfId="1" applyNumberFormat="1" applyFont="1" applyFill="1" applyBorder="1" applyAlignment="1">
      <alignment horizontal="center"/>
    </xf>
    <xf numFmtId="168" fontId="2" fillId="2" borderId="11" xfId="2" applyNumberFormat="1" applyFont="1" applyFill="1" applyBorder="1" applyAlignment="1">
      <alignment horizontal="center"/>
    </xf>
    <xf numFmtId="167" fontId="2" fillId="2" borderId="0" xfId="1" applyNumberFormat="1" applyFont="1" applyFill="1" applyAlignment="1">
      <alignment horizontal="center"/>
    </xf>
    <xf numFmtId="167" fontId="2" fillId="2" borderId="7" xfId="1" applyNumberFormat="1" applyFont="1" applyFill="1" applyBorder="1" applyAlignment="1">
      <alignment horizontal="center"/>
    </xf>
    <xf numFmtId="164" fontId="12" fillId="2" borderId="0" xfId="2" applyNumberFormat="1" applyFont="1" applyFill="1" applyAlignment="1">
      <alignment horizontal="center"/>
    </xf>
    <xf numFmtId="166" fontId="2" fillId="2" borderId="8" xfId="1" applyNumberFormat="1" applyFont="1" applyFill="1" applyBorder="1"/>
    <xf numFmtId="164" fontId="2" fillId="2" borderId="1" xfId="2" applyNumberFormat="1" applyFont="1" applyFill="1" applyBorder="1" applyAlignment="1">
      <alignment horizontal="center"/>
    </xf>
    <xf numFmtId="0" fontId="3" fillId="2" borderId="0" xfId="0" applyFont="1" applyFill="1" applyAlignment="1">
      <alignment wrapText="1"/>
    </xf>
    <xf numFmtId="0" fontId="2" fillId="2" borderId="0" xfId="0" applyFont="1" applyFill="1" applyAlignment="1">
      <alignment wrapText="1"/>
    </xf>
    <xf numFmtId="165" fontId="1" fillId="2" borderId="7" xfId="1" applyNumberFormat="1" applyFill="1" applyBorder="1" applyAlignment="1">
      <alignment horizontal="center"/>
    </xf>
    <xf numFmtId="0" fontId="3" fillId="3" borderId="19" xfId="0" applyFont="1" applyFill="1" applyBorder="1" applyAlignment="1">
      <alignment horizontal="center"/>
    </xf>
    <xf numFmtId="0" fontId="3" fillId="3" borderId="18" xfId="0" applyFont="1" applyFill="1" applyBorder="1" applyAlignment="1">
      <alignment horizontal="center"/>
    </xf>
    <xf numFmtId="37" fontId="9" fillId="2" borderId="13" xfId="1" applyNumberFormat="1" applyFont="1" applyFill="1" applyBorder="1" applyAlignment="1">
      <alignment horizontal="center"/>
    </xf>
    <xf numFmtId="37" fontId="9" fillId="2" borderId="14" xfId="1" applyNumberFormat="1" applyFont="1" applyFill="1" applyBorder="1" applyAlignment="1">
      <alignment horizontal="center"/>
    </xf>
    <xf numFmtId="37" fontId="9" fillId="2" borderId="0" xfId="0" applyNumberFormat="1" applyFont="1" applyFill="1"/>
    <xf numFmtId="37" fontId="9" fillId="2" borderId="15" xfId="1" applyNumberFormat="1" applyFont="1" applyFill="1" applyBorder="1" applyAlignment="1">
      <alignment horizontal="center"/>
    </xf>
    <xf numFmtId="0" fontId="2" fillId="2" borderId="10" xfId="0" applyFont="1" applyFill="1" applyBorder="1" applyAlignment="1">
      <alignment horizontal="center" wrapText="1"/>
    </xf>
    <xf numFmtId="0" fontId="0" fillId="2" borderId="0" xfId="0" applyFill="1" applyAlignment="1">
      <alignment horizontal="center"/>
    </xf>
    <xf numFmtId="0" fontId="0" fillId="3" borderId="0" xfId="0" applyFill="1" applyAlignment="1">
      <alignment horizontal="center"/>
    </xf>
    <xf numFmtId="0" fontId="0" fillId="2" borderId="0" xfId="0" applyFill="1" applyAlignment="1">
      <alignment horizontal="left" vertical="top" wrapText="1"/>
    </xf>
    <xf numFmtId="0" fontId="2" fillId="2" borderId="21" xfId="0" applyFont="1" applyFill="1" applyBorder="1" applyAlignment="1">
      <alignment horizontal="centerContinuous" wrapText="1"/>
    </xf>
    <xf numFmtId="0" fontId="2" fillId="2" borderId="22" xfId="0" applyFont="1" applyFill="1" applyBorder="1" applyAlignment="1">
      <alignment horizontal="centerContinuous" wrapText="1"/>
    </xf>
    <xf numFmtId="0" fontId="2" fillId="2" borderId="23" xfId="0" applyFont="1" applyFill="1" applyBorder="1" applyAlignment="1">
      <alignment horizontal="centerContinuous" wrapText="1"/>
    </xf>
    <xf numFmtId="0" fontId="3" fillId="2" borderId="21" xfId="0" applyFont="1" applyFill="1" applyBorder="1" applyAlignment="1">
      <alignment horizontal="centerContinuous" wrapText="1"/>
    </xf>
    <xf numFmtId="0" fontId="3" fillId="2" borderId="22" xfId="0" applyFont="1" applyFill="1" applyBorder="1" applyAlignment="1">
      <alignment horizontal="centerContinuous" wrapText="1"/>
    </xf>
    <xf numFmtId="0" fontId="3" fillId="2" borderId="23" xfId="0" applyFont="1" applyFill="1" applyBorder="1" applyAlignment="1">
      <alignment horizontal="centerContinuous" wrapText="1"/>
    </xf>
    <xf numFmtId="0" fontId="3" fillId="3" borderId="24" xfId="0" applyFont="1" applyFill="1" applyBorder="1" applyAlignment="1">
      <alignment horizontal="centerContinuous" wrapText="1"/>
    </xf>
    <xf numFmtId="0" fontId="3" fillId="3" borderId="25" xfId="0" applyFont="1" applyFill="1" applyBorder="1" applyAlignment="1">
      <alignment horizontal="centerContinuous" wrapText="1"/>
    </xf>
    <xf numFmtId="0" fontId="3" fillId="3" borderId="16" xfId="0" applyFont="1" applyFill="1" applyBorder="1" applyAlignment="1">
      <alignment horizontal="centerContinuous" wrapText="1"/>
    </xf>
    <xf numFmtId="0" fontId="3" fillId="3" borderId="17" xfId="0" applyFont="1" applyFill="1" applyBorder="1" applyAlignment="1">
      <alignment horizontal="centerContinuous" wrapText="1"/>
    </xf>
    <xf numFmtId="166" fontId="6" fillId="2" borderId="0" xfId="1" applyNumberFormat="1" applyFont="1" applyFill="1"/>
    <xf numFmtId="166" fontId="6" fillId="2" borderId="3" xfId="1" applyNumberFormat="1" applyFont="1" applyFill="1" applyBorder="1"/>
    <xf numFmtId="166" fontId="6" fillId="2" borderId="4" xfId="1" applyNumberFormat="1" applyFont="1" applyFill="1" applyBorder="1"/>
    <xf numFmtId="0" fontId="0" fillId="4" borderId="0" xfId="0" applyFill="1"/>
    <xf numFmtId="0" fontId="0" fillId="5" borderId="0" xfId="0" applyFill="1"/>
    <xf numFmtId="166" fontId="14" fillId="5" borderId="0" xfId="0" applyNumberFormat="1" applyFont="1" applyFill="1"/>
    <xf numFmtId="0" fontId="14" fillId="5" borderId="0" xfId="0" applyFont="1" applyFill="1"/>
    <xf numFmtId="166" fontId="3" fillId="0" borderId="0" xfId="1" applyNumberFormat="1" applyFont="1"/>
    <xf numFmtId="166" fontId="2" fillId="4" borderId="0" xfId="1" applyNumberFormat="1" applyFont="1" applyFill="1"/>
    <xf numFmtId="166" fontId="9" fillId="2" borderId="3" xfId="1" applyNumberFormat="1" applyFont="1" applyFill="1" applyBorder="1" applyAlignment="1">
      <alignment horizontal="center"/>
    </xf>
    <xf numFmtId="166" fontId="9" fillId="2" borderId="4" xfId="1" applyNumberFormat="1" applyFont="1" applyFill="1" applyBorder="1" applyAlignment="1">
      <alignment horizontal="center"/>
    </xf>
    <xf numFmtId="0" fontId="9" fillId="3" borderId="0" xfId="0" applyFont="1" applyFill="1"/>
    <xf numFmtId="164" fontId="5" fillId="2" borderId="0" xfId="2" applyNumberFormat="1" applyFont="1" applyFill="1" applyAlignment="1">
      <alignment horizontal="center"/>
    </xf>
    <xf numFmtId="0" fontId="16" fillId="2" borderId="0" xfId="0" applyFont="1" applyFill="1"/>
    <xf numFmtId="166" fontId="16" fillId="2" borderId="0" xfId="1" applyNumberFormat="1" applyFont="1" applyFill="1"/>
    <xf numFmtId="0" fontId="16" fillId="3" borderId="0" xfId="0" applyFont="1" applyFill="1"/>
    <xf numFmtId="165" fontId="17" fillId="2" borderId="0" xfId="1" applyNumberFormat="1" applyFont="1" applyFill="1" applyAlignment="1">
      <alignment horizontal="center"/>
    </xf>
    <xf numFmtId="166" fontId="16" fillId="2" borderId="0" xfId="0" applyNumberFormat="1" applyFont="1" applyFill="1"/>
    <xf numFmtId="165" fontId="7" fillId="2" borderId="0" xfId="1" applyNumberFormat="1" applyFont="1" applyFill="1" applyAlignment="1">
      <alignment horizontal="center"/>
    </xf>
    <xf numFmtId="166" fontId="5" fillId="2" borderId="0" xfId="1" applyNumberFormat="1" applyFont="1" applyFill="1" applyAlignment="1">
      <alignment horizontal="center"/>
    </xf>
    <xf numFmtId="166" fontId="5" fillId="2" borderId="3" xfId="1" applyNumberFormat="1" applyFont="1" applyFill="1" applyBorder="1" applyAlignment="1">
      <alignment horizontal="center"/>
    </xf>
    <xf numFmtId="166" fontId="5" fillId="2" borderId="4" xfId="1" applyNumberFormat="1" applyFont="1" applyFill="1" applyBorder="1" applyAlignment="1">
      <alignment horizontal="center"/>
    </xf>
    <xf numFmtId="0" fontId="15" fillId="2" borderId="0" xfId="0" applyFont="1" applyFill="1"/>
    <xf numFmtId="166" fontId="15" fillId="2" borderId="3" xfId="1" applyNumberFormat="1" applyFont="1" applyFill="1" applyBorder="1" applyAlignment="1">
      <alignment horizontal="center"/>
    </xf>
    <xf numFmtId="166" fontId="19" fillId="2" borderId="0" xfId="1" applyNumberFormat="1" applyFont="1" applyFill="1" applyAlignment="1">
      <alignment horizontal="center"/>
    </xf>
    <xf numFmtId="166" fontId="19" fillId="2" borderId="3" xfId="1" applyNumberFormat="1" applyFont="1" applyFill="1" applyBorder="1" applyAlignment="1">
      <alignment horizontal="center"/>
    </xf>
    <xf numFmtId="166" fontId="19" fillId="2" borderId="4" xfId="1" applyNumberFormat="1" applyFont="1" applyFill="1" applyBorder="1" applyAlignment="1">
      <alignment horizontal="center"/>
    </xf>
    <xf numFmtId="0" fontId="15" fillId="3" borderId="0" xfId="0" applyFont="1" applyFill="1"/>
    <xf numFmtId="0" fontId="20" fillId="2" borderId="0" xfId="0" applyFont="1" applyFill="1"/>
    <xf numFmtId="0" fontId="9" fillId="4" borderId="5" xfId="0" applyFont="1" applyFill="1" applyBorder="1"/>
    <xf numFmtId="164" fontId="2" fillId="4" borderId="9" xfId="2" applyNumberFormat="1" applyFont="1" applyFill="1" applyBorder="1" applyAlignment="1">
      <alignment horizontal="center"/>
    </xf>
    <xf numFmtId="0" fontId="8" fillId="4" borderId="3" xfId="0" applyFont="1" applyFill="1" applyBorder="1"/>
    <xf numFmtId="165" fontId="1" fillId="4" borderId="4" xfId="1" applyNumberFormat="1" applyFill="1" applyBorder="1" applyAlignment="1">
      <alignment horizontal="center"/>
    </xf>
    <xf numFmtId="0" fontId="0" fillId="4" borderId="3" xfId="0" applyFill="1" applyBorder="1"/>
    <xf numFmtId="164" fontId="1" fillId="4" borderId="0" xfId="2" applyNumberFormat="1" applyFill="1" applyAlignment="1">
      <alignment horizontal="center"/>
    </xf>
    <xf numFmtId="166" fontId="8" fillId="4" borderId="0" xfId="1" applyNumberFormat="1" applyFont="1" applyFill="1" applyAlignment="1">
      <alignment horizontal="center"/>
    </xf>
    <xf numFmtId="0" fontId="11" fillId="4" borderId="3" xfId="0" applyFont="1" applyFill="1" applyBorder="1"/>
    <xf numFmtId="0" fontId="3" fillId="4" borderId="3" xfId="0" applyFont="1" applyFill="1" applyBorder="1"/>
    <xf numFmtId="0" fontId="9" fillId="4" borderId="3" xfId="0" applyFont="1" applyFill="1" applyBorder="1"/>
    <xf numFmtId="0" fontId="0" fillId="6" borderId="0" xfId="0" applyFill="1"/>
    <xf numFmtId="0" fontId="2" fillId="6" borderId="0" xfId="0" applyFont="1" applyFill="1"/>
    <xf numFmtId="0" fontId="0" fillId="4" borderId="8" xfId="0" applyFill="1" applyBorder="1"/>
    <xf numFmtId="166" fontId="8" fillId="4" borderId="3" xfId="1" applyNumberFormat="1" applyFont="1" applyFill="1" applyBorder="1" applyAlignment="1">
      <alignment horizontal="center"/>
    </xf>
    <xf numFmtId="0" fontId="0" fillId="4" borderId="1" xfId="0" applyFill="1" applyBorder="1"/>
    <xf numFmtId="0" fontId="0" fillId="4" borderId="4" xfId="0" applyFill="1" applyBorder="1"/>
    <xf numFmtId="0" fontId="2" fillId="4" borderId="0" xfId="0" applyFont="1" applyFill="1"/>
    <xf numFmtId="0" fontId="7" fillId="4" borderId="0" xfId="0" applyFont="1" applyFill="1"/>
    <xf numFmtId="166" fontId="2" fillId="4" borderId="0" xfId="0" applyNumberFormat="1" applyFont="1" applyFill="1"/>
    <xf numFmtId="0" fontId="2" fillId="4" borderId="7" xfId="0" applyFont="1" applyFill="1" applyBorder="1"/>
    <xf numFmtId="0" fontId="0" fillId="4" borderId="7" xfId="0" applyFill="1" applyBorder="1"/>
    <xf numFmtId="0" fontId="9" fillId="4" borderId="3" xfId="0" applyFont="1" applyFill="1" applyBorder="1" applyAlignment="1">
      <alignment horizontal="center"/>
    </xf>
    <xf numFmtId="167" fontId="2" fillId="2" borderId="3" xfId="3" applyNumberFormat="1" applyFont="1" applyFill="1" applyBorder="1"/>
    <xf numFmtId="167" fontId="2" fillId="2" borderId="6" xfId="3" applyNumberFormat="1" applyFont="1" applyFill="1" applyBorder="1"/>
    <xf numFmtId="166" fontId="19" fillId="2" borderId="3" xfId="1" applyNumberFormat="1" applyFont="1" applyFill="1" applyBorder="1"/>
    <xf numFmtId="166" fontId="19" fillId="2" borderId="0" xfId="1" applyNumberFormat="1" applyFont="1" applyFill="1"/>
    <xf numFmtId="166" fontId="19" fillId="2" borderId="4" xfId="1" applyNumberFormat="1" applyFont="1" applyFill="1" applyBorder="1"/>
    <xf numFmtId="164" fontId="2" fillId="4" borderId="1" xfId="2" applyNumberFormat="1" applyFont="1" applyFill="1" applyBorder="1" applyAlignment="1">
      <alignment horizontal="center"/>
    </xf>
    <xf numFmtId="165" fontId="1" fillId="4" borderId="0" xfId="1" applyNumberFormat="1" applyFill="1" applyAlignment="1">
      <alignment horizontal="center"/>
    </xf>
    <xf numFmtId="0" fontId="3" fillId="4" borderId="0" xfId="0" applyFont="1" applyFill="1" applyAlignment="1">
      <alignment horizontal="center" wrapText="1"/>
    </xf>
    <xf numFmtId="0" fontId="1" fillId="2" borderId="6" xfId="0" applyFont="1" applyFill="1" applyBorder="1"/>
    <xf numFmtId="0" fontId="15" fillId="4" borderId="0" xfId="0" applyFont="1" applyFill="1"/>
    <xf numFmtId="166" fontId="15" fillId="4" borderId="4" xfId="1" applyNumberFormat="1" applyFont="1" applyFill="1" applyBorder="1"/>
    <xf numFmtId="164" fontId="2" fillId="4" borderId="0" xfId="2" applyNumberFormat="1" applyFont="1" applyFill="1" applyAlignment="1">
      <alignment horizontal="center"/>
    </xf>
    <xf numFmtId="0" fontId="3" fillId="4" borderId="0" xfId="0" applyFont="1" applyFill="1"/>
    <xf numFmtId="166" fontId="8" fillId="4" borderId="4" xfId="1" applyNumberFormat="1" applyFont="1" applyFill="1" applyBorder="1" applyAlignment="1">
      <alignment horizontal="center"/>
    </xf>
    <xf numFmtId="0" fontId="8" fillId="4" borderId="6" xfId="0" applyFont="1" applyFill="1" applyBorder="1"/>
    <xf numFmtId="165" fontId="1" fillId="4" borderId="8" xfId="1" applyNumberFormat="1" applyFill="1" applyBorder="1" applyAlignment="1">
      <alignment horizontal="center"/>
    </xf>
    <xf numFmtId="164" fontId="2" fillId="4" borderId="2" xfId="2" applyNumberFormat="1" applyFont="1" applyFill="1" applyBorder="1" applyAlignment="1">
      <alignment horizontal="center"/>
    </xf>
    <xf numFmtId="165" fontId="1" fillId="0" borderId="4" xfId="1" applyNumberFormat="1" applyBorder="1" applyAlignment="1">
      <alignment horizontal="center"/>
    </xf>
    <xf numFmtId="166" fontId="15" fillId="4" borderId="0" xfId="1" applyNumberFormat="1" applyFont="1" applyFill="1"/>
    <xf numFmtId="166" fontId="2" fillId="4" borderId="4" xfId="1" applyNumberFormat="1" applyFont="1" applyFill="1" applyBorder="1"/>
    <xf numFmtId="166" fontId="5" fillId="4" borderId="4" xfId="1" applyNumberFormat="1" applyFont="1" applyFill="1" applyBorder="1"/>
    <xf numFmtId="166" fontId="1" fillId="4" borderId="4" xfId="1" applyNumberFormat="1" applyFill="1" applyBorder="1"/>
    <xf numFmtId="166" fontId="7" fillId="4" borderId="4" xfId="1" applyNumberFormat="1" applyFont="1" applyFill="1" applyBorder="1"/>
    <xf numFmtId="169" fontId="1" fillId="2" borderId="0" xfId="2" applyNumberFormat="1" applyFill="1" applyAlignment="1">
      <alignment horizontal="right"/>
    </xf>
    <xf numFmtId="165" fontId="1" fillId="0" borderId="0" xfId="1" applyNumberFormat="1" applyAlignment="1">
      <alignment horizontal="center"/>
    </xf>
    <xf numFmtId="166" fontId="2" fillId="4" borderId="27" xfId="1" applyNumberFormat="1" applyFont="1" applyFill="1" applyBorder="1" applyAlignment="1">
      <alignment horizontal="center"/>
    </xf>
    <xf numFmtId="166" fontId="5" fillId="4" borderId="27" xfId="1" applyNumberFormat="1" applyFont="1" applyFill="1" applyBorder="1" applyAlignment="1">
      <alignment horizontal="center"/>
    </xf>
    <xf numFmtId="166" fontId="1" fillId="4" borderId="27" xfId="1" applyNumberFormat="1" applyFill="1" applyBorder="1" applyAlignment="1">
      <alignment horizontal="center"/>
    </xf>
    <xf numFmtId="166" fontId="0" fillId="4" borderId="27" xfId="1" applyNumberFormat="1" applyFont="1" applyFill="1" applyBorder="1" applyAlignment="1">
      <alignment horizontal="center"/>
    </xf>
    <xf numFmtId="166" fontId="7" fillId="4" borderId="27" xfId="1" applyNumberFormat="1" applyFont="1" applyFill="1" applyBorder="1" applyAlignment="1">
      <alignment horizontal="center"/>
    </xf>
    <xf numFmtId="0" fontId="3" fillId="3" borderId="19" xfId="0" applyFont="1" applyFill="1" applyBorder="1" applyAlignment="1">
      <alignment horizontal="centerContinuous" wrapText="1"/>
    </xf>
    <xf numFmtId="0" fontId="3" fillId="3" borderId="18" xfId="0" applyFont="1" applyFill="1" applyBorder="1" applyAlignment="1">
      <alignment horizontal="centerContinuous" wrapText="1"/>
    </xf>
    <xf numFmtId="165" fontId="1" fillId="4" borderId="0" xfId="1" applyNumberFormat="1" applyFill="1" applyBorder="1" applyAlignment="1">
      <alignment horizontal="center"/>
    </xf>
    <xf numFmtId="0" fontId="3" fillId="4" borderId="5" xfId="0" applyFont="1" applyFill="1" applyBorder="1"/>
    <xf numFmtId="0" fontId="5" fillId="4" borderId="0" xfId="0" applyFont="1" applyFill="1" applyAlignment="1">
      <alignment horizontal="center"/>
    </xf>
    <xf numFmtId="165" fontId="2" fillId="4" borderId="0" xfId="1" applyNumberFormat="1" applyFont="1" applyFill="1" applyAlignment="1">
      <alignment horizontal="center"/>
    </xf>
    <xf numFmtId="0" fontId="1" fillId="4" borderId="3" xfId="0" applyFont="1" applyFill="1" applyBorder="1"/>
    <xf numFmtId="166" fontId="0" fillId="4" borderId="0" xfId="1" applyNumberFormat="1" applyFont="1" applyFill="1" applyAlignment="1">
      <alignment horizontal="center"/>
    </xf>
    <xf numFmtId="164" fontId="1" fillId="4" borderId="12" xfId="2" applyNumberFormat="1" applyFill="1" applyBorder="1" applyAlignment="1">
      <alignment horizontal="center"/>
    </xf>
    <xf numFmtId="164" fontId="1" fillId="4" borderId="0" xfId="2" applyNumberFormat="1" applyFill="1" applyBorder="1" applyAlignment="1">
      <alignment horizontal="center"/>
    </xf>
    <xf numFmtId="0" fontId="0" fillId="4" borderId="6" xfId="0" applyFill="1" applyBorder="1"/>
    <xf numFmtId="164" fontId="1" fillId="4" borderId="8" xfId="2" applyNumberFormat="1" applyFill="1" applyBorder="1" applyAlignment="1">
      <alignment horizontal="center"/>
    </xf>
    <xf numFmtId="0" fontId="2" fillId="4" borderId="26" xfId="2" applyNumberFormat="1" applyFont="1" applyFill="1" applyBorder="1" applyAlignment="1">
      <alignment horizontal="center"/>
    </xf>
    <xf numFmtId="0" fontId="5" fillId="4" borderId="27" xfId="0" applyFont="1" applyFill="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166" fontId="0" fillId="4" borderId="3" xfId="1" applyNumberFormat="1" applyFont="1" applyFill="1" applyBorder="1" applyAlignment="1">
      <alignment horizontal="center"/>
    </xf>
    <xf numFmtId="166" fontId="0" fillId="4" borderId="4" xfId="1" applyNumberFormat="1" applyFont="1" applyFill="1" applyBorder="1" applyAlignment="1">
      <alignment horizontal="center"/>
    </xf>
    <xf numFmtId="166" fontId="2" fillId="4" borderId="0" xfId="1" applyNumberFormat="1" applyFont="1" applyFill="1" applyAlignment="1">
      <alignment horizontal="center"/>
    </xf>
    <xf numFmtId="166" fontId="2" fillId="4" borderId="3" xfId="1" applyNumberFormat="1" applyFont="1" applyFill="1" applyBorder="1" applyAlignment="1">
      <alignment horizontal="center"/>
    </xf>
    <xf numFmtId="166" fontId="2" fillId="4" borderId="4" xfId="1" applyNumberFormat="1" applyFont="1" applyFill="1" applyBorder="1" applyAlignment="1">
      <alignment horizontal="center"/>
    </xf>
    <xf numFmtId="166" fontId="5" fillId="4" borderId="0" xfId="1" applyNumberFormat="1" applyFont="1" applyFill="1" applyAlignment="1">
      <alignment horizontal="center"/>
    </xf>
    <xf numFmtId="166" fontId="5" fillId="4" borderId="3" xfId="1" applyNumberFormat="1" applyFont="1" applyFill="1" applyBorder="1" applyAlignment="1">
      <alignment horizontal="center"/>
    </xf>
    <xf numFmtId="166" fontId="5" fillId="4" borderId="4" xfId="1" applyNumberFormat="1" applyFont="1" applyFill="1" applyBorder="1" applyAlignment="1">
      <alignment horizontal="center"/>
    </xf>
    <xf numFmtId="0" fontId="5" fillId="4" borderId="0" xfId="0" applyFont="1" applyFill="1"/>
    <xf numFmtId="0" fontId="16" fillId="4" borderId="0" xfId="0" applyFont="1" applyFill="1"/>
    <xf numFmtId="166" fontId="1" fillId="4" borderId="0" xfId="1" applyNumberFormat="1" applyFill="1" applyAlignment="1">
      <alignment horizontal="center"/>
    </xf>
    <xf numFmtId="166" fontId="1" fillId="4" borderId="3" xfId="1" applyNumberFormat="1" applyFill="1" applyBorder="1" applyAlignment="1">
      <alignment horizontal="center"/>
    </xf>
    <xf numFmtId="166" fontId="1" fillId="4" borderId="4" xfId="1" applyNumberFormat="1" applyFill="1" applyBorder="1" applyAlignment="1">
      <alignment horizontal="center"/>
    </xf>
    <xf numFmtId="166" fontId="18" fillId="4" borderId="0" xfId="1" applyNumberFormat="1" applyFont="1" applyFill="1" applyAlignment="1">
      <alignment horizontal="center"/>
    </xf>
    <xf numFmtId="166" fontId="18" fillId="4" borderId="27" xfId="1" applyNumberFormat="1" applyFont="1" applyFill="1" applyBorder="1" applyAlignment="1">
      <alignment horizontal="center"/>
    </xf>
    <xf numFmtId="166" fontId="18" fillId="4" borderId="3" xfId="1" applyNumberFormat="1" applyFont="1" applyFill="1" applyBorder="1" applyAlignment="1">
      <alignment horizontal="center"/>
    </xf>
    <xf numFmtId="166" fontId="18" fillId="4" borderId="4" xfId="1" applyNumberFormat="1" applyFont="1" applyFill="1" applyBorder="1" applyAlignment="1">
      <alignment horizontal="center"/>
    </xf>
    <xf numFmtId="0" fontId="1" fillId="4" borderId="0" xfId="0" applyFont="1" applyFill="1"/>
    <xf numFmtId="166" fontId="7" fillId="4" borderId="0" xfId="1" applyNumberFormat="1" applyFont="1" applyFill="1" applyAlignment="1">
      <alignment horizontal="center"/>
    </xf>
    <xf numFmtId="166" fontId="7" fillId="4" borderId="3" xfId="1" applyNumberFormat="1" applyFont="1" applyFill="1" applyBorder="1" applyAlignment="1">
      <alignment horizontal="center"/>
    </xf>
    <xf numFmtId="166" fontId="7" fillId="4" borderId="4" xfId="1" applyNumberFormat="1" applyFont="1" applyFill="1" applyBorder="1" applyAlignment="1">
      <alignment horizontal="center"/>
    </xf>
    <xf numFmtId="166" fontId="6" fillId="4" borderId="0" xfId="1" applyNumberFormat="1" applyFont="1" applyFill="1" applyAlignment="1">
      <alignment horizontal="center"/>
    </xf>
    <xf numFmtId="166" fontId="6" fillId="4" borderId="27" xfId="1" applyNumberFormat="1" applyFont="1" applyFill="1" applyBorder="1" applyAlignment="1">
      <alignment horizontal="center"/>
    </xf>
    <xf numFmtId="166" fontId="6" fillId="4" borderId="3" xfId="1" applyNumberFormat="1" applyFont="1" applyFill="1" applyBorder="1" applyAlignment="1">
      <alignment horizontal="center"/>
    </xf>
    <xf numFmtId="166" fontId="6" fillId="4" borderId="4" xfId="1" applyNumberFormat="1" applyFont="1" applyFill="1" applyBorder="1" applyAlignment="1">
      <alignment horizontal="center"/>
    </xf>
    <xf numFmtId="0" fontId="8" fillId="4" borderId="0" xfId="0" applyFont="1" applyFill="1"/>
    <xf numFmtId="166" fontId="3" fillId="4" borderId="0" xfId="1" applyNumberFormat="1" applyFont="1" applyFill="1" applyAlignment="1">
      <alignment horizontal="center"/>
    </xf>
    <xf numFmtId="167" fontId="2" fillId="4" borderId="0" xfId="3" applyNumberFormat="1" applyFont="1" applyFill="1" applyAlignment="1">
      <alignment horizontal="center"/>
    </xf>
    <xf numFmtId="166" fontId="2" fillId="4" borderId="28" xfId="1" applyNumberFormat="1" applyFont="1" applyFill="1" applyBorder="1" applyAlignment="1">
      <alignment horizontal="center"/>
    </xf>
    <xf numFmtId="166" fontId="2" fillId="4" borderId="6" xfId="1" applyNumberFormat="1" applyFont="1" applyFill="1" applyBorder="1" applyAlignment="1">
      <alignment horizontal="center"/>
    </xf>
    <xf numFmtId="166" fontId="2" fillId="4" borderId="7" xfId="1" applyNumberFormat="1" applyFont="1" applyFill="1" applyBorder="1" applyAlignment="1">
      <alignment horizontal="center"/>
    </xf>
    <xf numFmtId="167" fontId="2" fillId="4" borderId="7" xfId="3" applyNumberFormat="1" applyFont="1" applyFill="1" applyBorder="1" applyAlignment="1">
      <alignment horizontal="center"/>
    </xf>
    <xf numFmtId="166" fontId="2" fillId="4" borderId="8" xfId="1" applyNumberFormat="1" applyFont="1" applyFill="1" applyBorder="1" applyAlignment="1">
      <alignment horizontal="center"/>
    </xf>
    <xf numFmtId="167" fontId="2" fillId="4" borderId="0" xfId="1" applyNumberFormat="1" applyFont="1" applyFill="1" applyAlignment="1">
      <alignment horizontal="center"/>
    </xf>
    <xf numFmtId="167" fontId="2" fillId="4" borderId="0" xfId="1" applyNumberFormat="1" applyFont="1" applyFill="1"/>
    <xf numFmtId="166" fontId="14" fillId="4" borderId="0" xfId="0" applyNumberFormat="1" applyFont="1" applyFill="1"/>
    <xf numFmtId="0" fontId="14" fillId="4" borderId="0" xfId="0" applyFont="1" applyFill="1"/>
    <xf numFmtId="166" fontId="0" fillId="2" borderId="0" xfId="1" applyNumberFormat="1" applyFont="1" applyFill="1" applyBorder="1" applyAlignment="1">
      <alignment horizontal="center"/>
    </xf>
    <xf numFmtId="166" fontId="2" fillId="2" borderId="0" xfId="1" applyNumberFormat="1" applyFont="1" applyFill="1" applyBorder="1" applyAlignment="1">
      <alignment horizontal="center"/>
    </xf>
    <xf numFmtId="166" fontId="5" fillId="2" borderId="0" xfId="1" applyNumberFormat="1" applyFont="1" applyFill="1" applyBorder="1" applyAlignment="1">
      <alignment horizontal="center"/>
    </xf>
    <xf numFmtId="166" fontId="1" fillId="2" borderId="0" xfId="1" applyNumberFormat="1" applyFill="1" applyBorder="1" applyAlignment="1">
      <alignment horizontal="center"/>
    </xf>
    <xf numFmtId="166" fontId="7" fillId="2" borderId="0" xfId="1" applyNumberFormat="1" applyFont="1" applyFill="1" applyBorder="1" applyAlignment="1">
      <alignment horizontal="center"/>
    </xf>
    <xf numFmtId="166" fontId="6" fillId="2" borderId="0" xfId="1" applyNumberFormat="1" applyFont="1" applyFill="1" applyBorder="1" applyAlignment="1">
      <alignment horizontal="center"/>
    </xf>
    <xf numFmtId="164" fontId="19" fillId="2" borderId="2" xfId="2" applyNumberFormat="1" applyFont="1" applyFill="1" applyBorder="1" applyAlignment="1">
      <alignment horizontal="center"/>
    </xf>
    <xf numFmtId="0" fontId="3" fillId="3" borderId="15" xfId="0" applyFont="1" applyFill="1" applyBorder="1" applyAlignment="1">
      <alignment horizontal="centerContinuous" wrapText="1"/>
    </xf>
    <xf numFmtId="0" fontId="9" fillId="2" borderId="24" xfId="0" applyFont="1" applyFill="1" applyBorder="1" applyAlignment="1">
      <alignment horizontal="center"/>
    </xf>
    <xf numFmtId="0" fontId="9" fillId="2" borderId="25" xfId="0" applyFont="1" applyFill="1" applyBorder="1" applyAlignment="1">
      <alignment horizontal="center"/>
    </xf>
    <xf numFmtId="37" fontId="8" fillId="0" borderId="13" xfId="1" applyNumberFormat="1" applyFont="1" applyFill="1" applyBorder="1" applyAlignment="1">
      <alignment horizontal="center"/>
    </xf>
    <xf numFmtId="37" fontId="8" fillId="4" borderId="14" xfId="1" applyNumberFormat="1" applyFont="1" applyFill="1" applyBorder="1" applyAlignment="1">
      <alignment horizontal="center"/>
    </xf>
    <xf numFmtId="0" fontId="3" fillId="3" borderId="14" xfId="0" applyFont="1" applyFill="1" applyBorder="1" applyAlignment="1">
      <alignment horizontal="centerContinuous" wrapText="1"/>
    </xf>
    <xf numFmtId="165" fontId="8" fillId="4" borderId="4" xfId="1" applyNumberFormat="1" applyFont="1" applyFill="1" applyBorder="1" applyAlignment="1">
      <alignment horizontal="center"/>
    </xf>
    <xf numFmtId="0" fontId="2" fillId="4" borderId="3" xfId="0" applyFont="1" applyFill="1" applyBorder="1"/>
    <xf numFmtId="0" fontId="0" fillId="4" borderId="0" xfId="0" applyFill="1" applyAlignment="1">
      <alignment horizontal="center"/>
    </xf>
    <xf numFmtId="164" fontId="8" fillId="4" borderId="0" xfId="2" applyNumberFormat="1" applyFont="1" applyFill="1" applyBorder="1" applyAlignment="1">
      <alignment horizontal="center"/>
    </xf>
    <xf numFmtId="0" fontId="2" fillId="4" borderId="10" xfId="0" applyFont="1" applyFill="1" applyBorder="1" applyAlignment="1">
      <alignment horizontal="center" wrapText="1"/>
    </xf>
    <xf numFmtId="166" fontId="2" fillId="2" borderId="0" xfId="1" applyNumberFormat="1" applyFont="1" applyFill="1" applyBorder="1"/>
    <xf numFmtId="166" fontId="1" fillId="2" borderId="0" xfId="1" applyNumberFormat="1" applyFill="1" applyBorder="1"/>
    <xf numFmtId="166" fontId="7" fillId="2" borderId="0" xfId="1" applyNumberFormat="1" applyFont="1" applyFill="1" applyBorder="1"/>
    <xf numFmtId="166" fontId="8" fillId="4" borderId="0" xfId="1" applyNumberFormat="1" applyFont="1" applyFill="1" applyBorder="1" applyAlignment="1">
      <alignment horizontal="center"/>
    </xf>
    <xf numFmtId="166" fontId="19" fillId="2" borderId="0" xfId="1" applyNumberFormat="1" applyFont="1" applyFill="1" applyBorder="1"/>
    <xf numFmtId="166" fontId="6" fillId="2" borderId="0" xfId="1" applyNumberFormat="1" applyFont="1" applyFill="1" applyBorder="1"/>
    <xf numFmtId="166" fontId="15" fillId="4" borderId="0" xfId="1" applyNumberFormat="1" applyFont="1" applyFill="1" applyBorder="1"/>
    <xf numFmtId="167" fontId="2" fillId="2" borderId="0" xfId="3" applyNumberFormat="1" applyFont="1" applyFill="1" applyBorder="1"/>
    <xf numFmtId="0" fontId="3" fillId="2" borderId="0" xfId="1" applyNumberFormat="1" applyFont="1" applyFill="1" applyAlignment="1">
      <alignment horizontal="center"/>
    </xf>
    <xf numFmtId="0" fontId="3" fillId="2" borderId="1" xfId="2" applyNumberFormat="1" applyFont="1" applyFill="1" applyBorder="1" applyAlignment="1">
      <alignment horizontal="center"/>
    </xf>
    <xf numFmtId="0" fontId="8" fillId="2" borderId="0" xfId="1" applyNumberFormat="1" applyFont="1" applyFill="1" applyAlignment="1">
      <alignment horizontal="center"/>
    </xf>
    <xf numFmtId="0" fontId="3" fillId="3" borderId="0" xfId="1" applyNumberFormat="1" applyFont="1" applyFill="1" applyAlignment="1">
      <alignment horizontal="center"/>
    </xf>
    <xf numFmtId="0" fontId="14" fillId="3" borderId="0" xfId="0" applyFont="1" applyFill="1"/>
    <xf numFmtId="165" fontId="1" fillId="2" borderId="0" xfId="1" applyNumberFormat="1" applyFill="1" applyBorder="1" applyAlignment="1">
      <alignment horizontal="center"/>
    </xf>
    <xf numFmtId="165" fontId="1" fillId="0" borderId="0" xfId="1" applyNumberFormat="1" applyBorder="1" applyAlignment="1">
      <alignment horizontal="center"/>
    </xf>
    <xf numFmtId="0" fontId="15" fillId="2" borderId="0" xfId="0" applyFont="1" applyFill="1" applyAlignment="1">
      <alignment horizontal="center"/>
    </xf>
    <xf numFmtId="166" fontId="2" fillId="4" borderId="3" xfId="1" applyNumberFormat="1" applyFont="1" applyFill="1" applyBorder="1"/>
    <xf numFmtId="166" fontId="19" fillId="2" borderId="0" xfId="1" applyNumberFormat="1" applyFont="1" applyFill="1" applyBorder="1" applyAlignment="1">
      <alignment horizontal="center"/>
    </xf>
    <xf numFmtId="166" fontId="8" fillId="2" borderId="0" xfId="1" applyNumberFormat="1" applyFont="1" applyFill="1" applyBorder="1" applyAlignment="1">
      <alignment horizontal="center"/>
    </xf>
    <xf numFmtId="166" fontId="3" fillId="2" borderId="0" xfId="1" applyNumberFormat="1" applyFont="1" applyFill="1" applyBorder="1" applyAlignment="1">
      <alignment horizontal="center"/>
    </xf>
    <xf numFmtId="167" fontId="3" fillId="2" borderId="3" xfId="3" applyNumberFormat="1" applyFont="1" applyFill="1" applyBorder="1"/>
    <xf numFmtId="167" fontId="3" fillId="2" borderId="6" xfId="3" applyNumberFormat="1" applyFont="1" applyFill="1" applyBorder="1"/>
    <xf numFmtId="166" fontId="2" fillId="2" borderId="0" xfId="2" applyNumberFormat="1" applyFont="1" applyFill="1" applyBorder="1" applyAlignment="1">
      <alignment horizontal="center"/>
    </xf>
    <xf numFmtId="166" fontId="2" fillId="2" borderId="3" xfId="2" applyNumberFormat="1" applyFont="1" applyFill="1" applyBorder="1" applyAlignment="1">
      <alignment horizontal="center"/>
    </xf>
    <xf numFmtId="166" fontId="5" fillId="2" borderId="3" xfId="2" applyNumberFormat="1" applyFont="1" applyFill="1" applyBorder="1" applyAlignment="1">
      <alignment horizontal="center"/>
    </xf>
    <xf numFmtId="167" fontId="2" fillId="2" borderId="0" xfId="1" applyNumberFormat="1" applyFont="1" applyFill="1" applyBorder="1" applyAlignment="1">
      <alignment horizontal="center"/>
    </xf>
    <xf numFmtId="166" fontId="0" fillId="2" borderId="0" xfId="1" applyNumberFormat="1" applyFont="1" applyFill="1" applyBorder="1"/>
    <xf numFmtId="167" fontId="2" fillId="2" borderId="0" xfId="3" applyNumberFormat="1" applyFont="1" applyFill="1" applyBorder="1" applyAlignment="1">
      <alignment horizontal="center"/>
    </xf>
    <xf numFmtId="166" fontId="2" fillId="4" borderId="0" xfId="1" applyNumberFormat="1" applyFont="1" applyFill="1" applyBorder="1"/>
    <xf numFmtId="166" fontId="0" fillId="4" borderId="0" xfId="0" applyNumberFormat="1" applyFill="1"/>
    <xf numFmtId="0" fontId="2" fillId="0" borderId="3" xfId="0" applyFont="1" applyBorder="1"/>
    <xf numFmtId="166" fontId="2" fillId="4" borderId="0" xfId="1" applyNumberFormat="1" applyFont="1" applyFill="1" applyBorder="1" applyAlignment="1">
      <alignment horizontal="center"/>
    </xf>
    <xf numFmtId="164" fontId="19" fillId="4" borderId="2" xfId="2" applyNumberFormat="1" applyFont="1" applyFill="1" applyBorder="1" applyAlignment="1">
      <alignment horizontal="center"/>
    </xf>
    <xf numFmtId="166" fontId="5" fillId="4" borderId="0" xfId="1" applyNumberFormat="1" applyFont="1" applyFill="1" applyBorder="1"/>
    <xf numFmtId="166" fontId="1" fillId="4" borderId="0" xfId="1" applyNumberFormat="1" applyFill="1" applyBorder="1"/>
    <xf numFmtId="166" fontId="7" fillId="4" borderId="0" xfId="1" applyNumberFormat="1" applyFont="1" applyFill="1" applyBorder="1"/>
    <xf numFmtId="166" fontId="9" fillId="2" borderId="0" xfId="1" applyNumberFormat="1" applyFont="1" applyFill="1" applyBorder="1" applyAlignment="1">
      <alignment horizontal="center"/>
    </xf>
    <xf numFmtId="166" fontId="11" fillId="2" borderId="0" xfId="1" applyNumberFormat="1" applyFont="1" applyFill="1" applyBorder="1" applyAlignment="1">
      <alignment horizontal="center"/>
    </xf>
    <xf numFmtId="166" fontId="10" fillId="2" borderId="0" xfId="1" applyNumberFormat="1" applyFont="1" applyFill="1" applyBorder="1" applyAlignment="1">
      <alignment horizontal="center"/>
    </xf>
    <xf numFmtId="166" fontId="8" fillId="2" borderId="0" xfId="1" applyNumberFormat="1" applyFont="1" applyFill="1" applyBorder="1"/>
    <xf numFmtId="166" fontId="11" fillId="2" borderId="0" xfId="1" applyNumberFormat="1" applyFont="1" applyFill="1" applyBorder="1"/>
    <xf numFmtId="166" fontId="3" fillId="2" borderId="0" xfId="1" applyNumberFormat="1" applyFont="1" applyFill="1" applyBorder="1"/>
    <xf numFmtId="166" fontId="3" fillId="2" borderId="0" xfId="3" applyNumberFormat="1" applyFont="1" applyFill="1" applyBorder="1"/>
    <xf numFmtId="167" fontId="3" fillId="2" borderId="0" xfId="3" applyNumberFormat="1" applyFont="1" applyFill="1" applyBorder="1"/>
    <xf numFmtId="166" fontId="3" fillId="2" borderId="7" xfId="3" applyNumberFormat="1" applyFont="1" applyFill="1" applyBorder="1"/>
    <xf numFmtId="166" fontId="2" fillId="2" borderId="0" xfId="3" applyNumberFormat="1" applyFont="1" applyFill="1" applyBorder="1"/>
    <xf numFmtId="166" fontId="2" fillId="2" borderId="7" xfId="3" applyNumberFormat="1" applyFont="1" applyFill="1" applyBorder="1"/>
    <xf numFmtId="166" fontId="0" fillId="4" borderId="0" xfId="1" applyNumberFormat="1" applyFont="1" applyFill="1" applyBorder="1"/>
    <xf numFmtId="166" fontId="0" fillId="4" borderId="3" xfId="1" applyNumberFormat="1" applyFont="1" applyFill="1" applyBorder="1"/>
    <xf numFmtId="166" fontId="0" fillId="4" borderId="4" xfId="1" applyNumberFormat="1" applyFont="1" applyFill="1" applyBorder="1"/>
    <xf numFmtId="166" fontId="15" fillId="4" borderId="3" xfId="1" applyNumberFormat="1" applyFont="1" applyFill="1" applyBorder="1"/>
    <xf numFmtId="166" fontId="1" fillId="4" borderId="0" xfId="1" applyNumberFormat="1" applyFont="1" applyFill="1" applyAlignment="1">
      <alignment horizontal="center"/>
    </xf>
    <xf numFmtId="0" fontId="21" fillId="4" borderId="26" xfId="0" applyFont="1" applyFill="1" applyBorder="1" applyAlignment="1">
      <alignment horizontal="center"/>
    </xf>
    <xf numFmtId="0" fontId="5" fillId="2" borderId="27" xfId="0" applyFont="1" applyFill="1" applyBorder="1" applyAlignment="1">
      <alignment horizontal="center"/>
    </xf>
    <xf numFmtId="166" fontId="2" fillId="2" borderId="27" xfId="1" applyNumberFormat="1" applyFont="1" applyFill="1" applyBorder="1"/>
    <xf numFmtId="166" fontId="19" fillId="2" borderId="27" xfId="1" applyNumberFormat="1" applyFont="1" applyFill="1" applyBorder="1"/>
    <xf numFmtId="166" fontId="1" fillId="2" borderId="27" xfId="1" applyNumberFormat="1" applyFill="1" applyBorder="1"/>
    <xf numFmtId="166" fontId="6" fillId="2" borderId="27" xfId="1" applyNumberFormat="1" applyFont="1" applyFill="1" applyBorder="1"/>
    <xf numFmtId="166" fontId="7" fillId="2" borderId="27" xfId="1" applyNumberFormat="1" applyFont="1" applyFill="1" applyBorder="1"/>
    <xf numFmtId="166" fontId="15" fillId="4" borderId="27" xfId="1" applyNumberFormat="1" applyFont="1" applyFill="1" applyBorder="1"/>
    <xf numFmtId="0" fontId="0" fillId="4" borderId="27" xfId="0" applyFill="1" applyBorder="1"/>
    <xf numFmtId="167" fontId="2" fillId="2" borderId="27" xfId="3" applyNumberFormat="1" applyFont="1" applyFill="1" applyBorder="1"/>
    <xf numFmtId="167" fontId="2" fillId="2" borderId="28" xfId="3" applyNumberFormat="1" applyFont="1" applyFill="1" applyBorder="1"/>
    <xf numFmtId="169" fontId="1" fillId="4" borderId="8" xfId="2" applyNumberFormat="1" applyFill="1" applyBorder="1" applyAlignment="1">
      <alignment horizontal="right"/>
    </xf>
    <xf numFmtId="165" fontId="8" fillId="0" borderId="8" xfId="1" applyNumberFormat="1" applyFont="1" applyFill="1" applyBorder="1" applyAlignment="1">
      <alignment horizontal="center"/>
    </xf>
    <xf numFmtId="166" fontId="5" fillId="4" borderId="3" xfId="1" applyNumberFormat="1" applyFont="1" applyFill="1" applyBorder="1"/>
    <xf numFmtId="166" fontId="1" fillId="4" borderId="3" xfId="1" applyNumberFormat="1" applyFill="1" applyBorder="1"/>
    <xf numFmtId="166" fontId="7" fillId="4" borderId="3" xfId="1" applyNumberFormat="1" applyFont="1" applyFill="1" applyBorder="1"/>
    <xf numFmtId="0" fontId="2" fillId="2" borderId="8" xfId="0" applyFont="1" applyFill="1" applyBorder="1"/>
    <xf numFmtId="166" fontId="2" fillId="2" borderId="4" xfId="2" applyNumberFormat="1" applyFont="1" applyFill="1" applyBorder="1" applyAlignment="1">
      <alignment horizontal="center"/>
    </xf>
    <xf numFmtId="166" fontId="5" fillId="2" borderId="4" xfId="2" applyNumberFormat="1" applyFont="1" applyFill="1" applyBorder="1" applyAlignment="1">
      <alignment horizontal="center"/>
    </xf>
    <xf numFmtId="165" fontId="8" fillId="0" borderId="0" xfId="1" applyNumberFormat="1" applyFont="1" applyFill="1" applyBorder="1" applyAlignment="1">
      <alignment horizontal="center"/>
    </xf>
    <xf numFmtId="165" fontId="8" fillId="4" borderId="0" xfId="1" applyNumberFormat="1" applyFont="1" applyFill="1" applyBorder="1" applyAlignment="1">
      <alignment horizontal="center"/>
    </xf>
    <xf numFmtId="164" fontId="1" fillId="2" borderId="0" xfId="2" applyNumberFormat="1" applyFill="1" applyBorder="1" applyAlignment="1">
      <alignment horizontal="center"/>
    </xf>
    <xf numFmtId="164" fontId="1" fillId="4" borderId="4" xfId="2" applyNumberFormat="1" applyFill="1" applyBorder="1" applyAlignment="1">
      <alignment horizontal="center"/>
    </xf>
    <xf numFmtId="0" fontId="2" fillId="2" borderId="0" xfId="1" applyNumberFormat="1" applyFont="1" applyFill="1" applyBorder="1" applyAlignment="1">
      <alignment horizontal="center"/>
    </xf>
    <xf numFmtId="167" fontId="2" fillId="4" borderId="0" xfId="3" applyNumberFormat="1" applyFont="1" applyFill="1" applyBorder="1"/>
    <xf numFmtId="167" fontId="2" fillId="4" borderId="7" xfId="3" applyNumberFormat="1" applyFont="1" applyFill="1" applyBorder="1"/>
    <xf numFmtId="166" fontId="2" fillId="4" borderId="0" xfId="2" applyNumberFormat="1" applyFont="1" applyFill="1" applyBorder="1" applyAlignment="1">
      <alignment horizontal="center"/>
    </xf>
    <xf numFmtId="166" fontId="2" fillId="4" borderId="4" xfId="2" applyNumberFormat="1" applyFont="1" applyFill="1" applyBorder="1" applyAlignment="1">
      <alignment horizontal="center"/>
    </xf>
    <xf numFmtId="166" fontId="1" fillId="2" borderId="3" xfId="1" applyNumberFormat="1" applyFont="1" applyFill="1" applyBorder="1"/>
    <xf numFmtId="166" fontId="1" fillId="2" borderId="0" xfId="1" applyNumberFormat="1" applyFont="1" applyFill="1" applyBorder="1"/>
    <xf numFmtId="0" fontId="8" fillId="4" borderId="24" xfId="0" applyFont="1" applyFill="1" applyBorder="1"/>
    <xf numFmtId="165" fontId="1" fillId="4" borderId="25" xfId="1" applyNumberFormat="1" applyFill="1" applyBorder="1" applyAlignment="1">
      <alignment horizontal="center"/>
    </xf>
    <xf numFmtId="0" fontId="8" fillId="4" borderId="13" xfId="0" applyFont="1" applyFill="1" applyBorder="1"/>
    <xf numFmtId="165" fontId="1" fillId="4" borderId="14" xfId="1" applyNumberFormat="1" applyFill="1" applyBorder="1" applyAlignment="1">
      <alignment horizontal="center"/>
    </xf>
    <xf numFmtId="0" fontId="8" fillId="2" borderId="13" xfId="0" applyFont="1" applyFill="1" applyBorder="1"/>
    <xf numFmtId="165" fontId="1" fillId="4" borderId="17" xfId="1" applyNumberFormat="1" applyFill="1" applyBorder="1" applyAlignment="1">
      <alignment horizontal="center"/>
    </xf>
    <xf numFmtId="166" fontId="1" fillId="2" borderId="3" xfId="2" applyNumberFormat="1" applyFont="1" applyFill="1" applyBorder="1" applyAlignment="1">
      <alignment horizontal="center"/>
    </xf>
    <xf numFmtId="166" fontId="1" fillId="2" borderId="0" xfId="2" applyNumberFormat="1" applyFont="1" applyFill="1" applyBorder="1" applyAlignment="1">
      <alignment horizontal="center"/>
    </xf>
    <xf numFmtId="166" fontId="7" fillId="2" borderId="3" xfId="2" applyNumberFormat="1" applyFont="1" applyFill="1" applyBorder="1" applyAlignment="1">
      <alignment horizontal="center"/>
    </xf>
    <xf numFmtId="166" fontId="7" fillId="2" borderId="0" xfId="2" applyNumberFormat="1" applyFont="1" applyFill="1" applyBorder="1" applyAlignment="1">
      <alignment horizontal="center"/>
    </xf>
    <xf numFmtId="166" fontId="1" fillId="2" borderId="27" xfId="1" applyNumberFormat="1" applyFont="1" applyFill="1" applyBorder="1"/>
    <xf numFmtId="165" fontId="8" fillId="2" borderId="0" xfId="1" applyNumberFormat="1" applyFont="1" applyFill="1" applyBorder="1" applyAlignment="1">
      <alignment wrapText="1"/>
    </xf>
    <xf numFmtId="165" fontId="8" fillId="2" borderId="0" xfId="1" applyNumberFormat="1" applyFont="1" applyFill="1" applyBorder="1" applyAlignment="1">
      <alignment horizontal="center"/>
    </xf>
    <xf numFmtId="0" fontId="8" fillId="2" borderId="0" xfId="1" applyNumberFormat="1" applyFont="1" applyFill="1" applyBorder="1" applyAlignment="1">
      <alignment vertical="top" wrapText="1"/>
    </xf>
    <xf numFmtId="0" fontId="15" fillId="4" borderId="0" xfId="0" applyFont="1" applyFill="1" applyAlignment="1">
      <alignment horizontal="center"/>
    </xf>
    <xf numFmtId="0" fontId="8" fillId="2" borderId="0" xfId="1" applyNumberFormat="1" applyFont="1" applyFill="1" applyBorder="1" applyAlignment="1">
      <alignment vertical="top"/>
    </xf>
    <xf numFmtId="0" fontId="5" fillId="2" borderId="3" xfId="2" applyNumberFormat="1" applyFont="1" applyFill="1" applyBorder="1" applyAlignment="1">
      <alignment horizontal="center"/>
    </xf>
    <xf numFmtId="166" fontId="2" fillId="4" borderId="6" xfId="1" applyNumberFormat="1" applyFont="1" applyFill="1" applyBorder="1"/>
    <xf numFmtId="166" fontId="5" fillId="4" borderId="0" xfId="1" applyNumberFormat="1" applyFont="1" applyFill="1" applyBorder="1" applyAlignment="1">
      <alignment horizontal="center"/>
    </xf>
    <xf numFmtId="166" fontId="1" fillId="4" borderId="0" xfId="1" applyNumberFormat="1" applyFill="1" applyBorder="1" applyAlignment="1">
      <alignment horizontal="center"/>
    </xf>
    <xf numFmtId="166" fontId="0" fillId="4" borderId="0" xfId="1" applyNumberFormat="1" applyFont="1" applyFill="1" applyBorder="1" applyAlignment="1">
      <alignment horizontal="center"/>
    </xf>
    <xf numFmtId="166" fontId="7" fillId="4" borderId="0" xfId="1" applyNumberFormat="1" applyFont="1" applyFill="1" applyBorder="1" applyAlignment="1">
      <alignment horizontal="center"/>
    </xf>
    <xf numFmtId="166" fontId="2" fillId="4" borderId="3" xfId="2" applyNumberFormat="1" applyFont="1" applyFill="1" applyBorder="1" applyAlignment="1">
      <alignment horizontal="center"/>
    </xf>
    <xf numFmtId="167" fontId="2" fillId="3" borderId="0" xfId="1" applyNumberFormat="1" applyFont="1" applyFill="1" applyBorder="1" applyAlignment="1">
      <alignment horizontal="center"/>
    </xf>
    <xf numFmtId="166" fontId="1" fillId="2" borderId="4" xfId="1" applyNumberFormat="1" applyFont="1" applyFill="1" applyBorder="1"/>
    <xf numFmtId="165" fontId="1" fillId="7" borderId="4" xfId="1" applyNumberFormat="1" applyFill="1" applyBorder="1" applyAlignment="1">
      <alignment horizontal="center"/>
    </xf>
    <xf numFmtId="165" fontId="1" fillId="7" borderId="8" xfId="1" applyNumberFormat="1" applyFill="1" applyBorder="1" applyAlignment="1">
      <alignment horizontal="center"/>
    </xf>
    <xf numFmtId="166" fontId="2" fillId="0" borderId="0" xfId="1" applyNumberFormat="1" applyFont="1" applyFill="1" applyBorder="1" applyAlignment="1">
      <alignment horizontal="center"/>
    </xf>
    <xf numFmtId="0" fontId="22" fillId="4" borderId="0" xfId="0" applyFont="1" applyFill="1"/>
    <xf numFmtId="168" fontId="18" fillId="4" borderId="0" xfId="5" applyNumberFormat="1" applyFont="1" applyFill="1"/>
    <xf numFmtId="41" fontId="18" fillId="4" borderId="0" xfId="4" applyNumberFormat="1" applyFill="1"/>
    <xf numFmtId="41" fontId="18" fillId="4" borderId="20" xfId="4" applyNumberFormat="1" applyFill="1" applyBorder="1"/>
    <xf numFmtId="166" fontId="18" fillId="4" borderId="0" xfId="1" applyNumberFormat="1" applyFont="1" applyFill="1"/>
    <xf numFmtId="15" fontId="0" fillId="2" borderId="0" xfId="0" applyNumberFormat="1" applyFill="1"/>
    <xf numFmtId="166" fontId="2" fillId="4" borderId="7" xfId="1" applyNumberFormat="1" applyFont="1" applyFill="1" applyBorder="1"/>
    <xf numFmtId="41" fontId="0" fillId="4" borderId="0" xfId="4" applyNumberFormat="1" applyFont="1" applyFill="1"/>
    <xf numFmtId="166" fontId="5" fillId="2" borderId="0" xfId="2" applyNumberFormat="1" applyFont="1" applyFill="1" applyBorder="1" applyAlignment="1">
      <alignment horizontal="center"/>
    </xf>
    <xf numFmtId="166" fontId="1" fillId="0" borderId="0" xfId="1" applyNumberFormat="1" applyFill="1" applyBorder="1" applyAlignment="1">
      <alignment horizontal="center"/>
    </xf>
    <xf numFmtId="0" fontId="9" fillId="2" borderId="2" xfId="0" applyFont="1" applyFill="1" applyBorder="1" applyAlignment="1">
      <alignment horizontal="center"/>
    </xf>
    <xf numFmtId="166" fontId="1" fillId="2" borderId="4" xfId="1" applyNumberFormat="1" applyFont="1" applyFill="1" applyBorder="1" applyAlignment="1">
      <alignment horizontal="center"/>
    </xf>
    <xf numFmtId="166" fontId="1" fillId="2" borderId="7" xfId="1" applyNumberFormat="1" applyFill="1" applyBorder="1"/>
    <xf numFmtId="0" fontId="9" fillId="2" borderId="1" xfId="0" applyFont="1" applyFill="1" applyBorder="1" applyAlignment="1">
      <alignment horizontal="center"/>
    </xf>
    <xf numFmtId="166" fontId="24" fillId="3" borderId="0" xfId="1" applyNumberFormat="1" applyFont="1" applyFill="1"/>
    <xf numFmtId="0" fontId="25" fillId="3" borderId="0" xfId="0" applyFont="1" applyFill="1"/>
    <xf numFmtId="166" fontId="1" fillId="2" borderId="0" xfId="1" applyNumberFormat="1" applyFont="1" applyFill="1" applyBorder="1" applyAlignment="1">
      <alignment horizontal="center"/>
    </xf>
    <xf numFmtId="166" fontId="1" fillId="2" borderId="3" xfId="1" applyNumberFormat="1" applyFont="1" applyFill="1" applyBorder="1" applyAlignment="1">
      <alignment horizontal="center"/>
    </xf>
    <xf numFmtId="9" fontId="0" fillId="2" borderId="0" xfId="3" applyFont="1" applyFill="1" applyAlignment="1">
      <alignment horizontal="center"/>
    </xf>
    <xf numFmtId="9" fontId="8" fillId="4" borderId="0" xfId="3" applyFont="1" applyFill="1" applyAlignment="1">
      <alignment horizontal="center"/>
    </xf>
    <xf numFmtId="0" fontId="26" fillId="2" borderId="0" xfId="0" applyFont="1" applyFill="1"/>
    <xf numFmtId="0" fontId="27" fillId="4" borderId="4" xfId="0" applyFont="1" applyFill="1" applyBorder="1"/>
    <xf numFmtId="10" fontId="15" fillId="4" borderId="4" xfId="0" applyNumberFormat="1" applyFont="1" applyFill="1" applyBorder="1"/>
    <xf numFmtId="10" fontId="15" fillId="4" borderId="8" xfId="0" applyNumberFormat="1" applyFont="1" applyFill="1" applyBorder="1"/>
    <xf numFmtId="10" fontId="2" fillId="2" borderId="4" xfId="1" applyNumberFormat="1" applyFont="1" applyFill="1" applyBorder="1" applyAlignment="1">
      <alignment horizontal="center"/>
    </xf>
    <xf numFmtId="10" fontId="2" fillId="2" borderId="8" xfId="1" applyNumberFormat="1" applyFont="1" applyFill="1" applyBorder="1" applyAlignment="1">
      <alignment horizontal="center"/>
    </xf>
    <xf numFmtId="10" fontId="2" fillId="2" borderId="4" xfId="2" applyNumberFormat="1" applyFont="1" applyFill="1" applyBorder="1" applyAlignment="1">
      <alignment horizontal="center"/>
    </xf>
    <xf numFmtId="10" fontId="3" fillId="2" borderId="8" xfId="1" applyNumberFormat="1" applyFont="1" applyFill="1" applyBorder="1" applyAlignment="1">
      <alignment horizontal="center"/>
    </xf>
    <xf numFmtId="165" fontId="1" fillId="0" borderId="4" xfId="1" applyNumberFormat="1" applyFill="1" applyBorder="1" applyAlignment="1">
      <alignment horizontal="center"/>
    </xf>
    <xf numFmtId="165" fontId="1" fillId="0" borderId="0" xfId="1" applyNumberFormat="1" applyFill="1" applyBorder="1" applyAlignment="1">
      <alignment horizontal="center"/>
    </xf>
    <xf numFmtId="168" fontId="2" fillId="4" borderId="1" xfId="2" applyNumberFormat="1" applyFont="1" applyFill="1" applyBorder="1" applyAlignment="1">
      <alignment horizontal="center"/>
    </xf>
    <xf numFmtId="10" fontId="15" fillId="4" borderId="0" xfId="0" applyNumberFormat="1" applyFont="1" applyFill="1"/>
    <xf numFmtId="10" fontId="15" fillId="4" borderId="7" xfId="0" applyNumberFormat="1" applyFont="1" applyFill="1" applyBorder="1"/>
    <xf numFmtId="0" fontId="2" fillId="2" borderId="27" xfId="2" applyNumberFormat="1" applyFont="1" applyFill="1" applyBorder="1" applyAlignment="1">
      <alignment horizontal="center"/>
    </xf>
    <xf numFmtId="166" fontId="3" fillId="2" borderId="3" xfId="11" applyNumberFormat="1" applyFont="1" applyFill="1" applyBorder="1" applyAlignment="1">
      <alignment horizontal="center"/>
    </xf>
    <xf numFmtId="166" fontId="9" fillId="2" borderId="3" xfId="11" applyNumberFormat="1" applyFont="1" applyFill="1" applyBorder="1" applyAlignment="1">
      <alignment horizontal="center"/>
    </xf>
    <xf numFmtId="166" fontId="8" fillId="2" borderId="3" xfId="11" applyNumberFormat="1" applyFont="1" applyFill="1" applyBorder="1" applyAlignment="1">
      <alignment horizontal="center"/>
    </xf>
    <xf numFmtId="166" fontId="11" fillId="2" borderId="3" xfId="11" applyNumberFormat="1" applyFont="1" applyFill="1" applyBorder="1" applyAlignment="1">
      <alignment horizontal="center"/>
    </xf>
    <xf numFmtId="166" fontId="10" fillId="2" borderId="3" xfId="11" applyNumberFormat="1" applyFont="1" applyFill="1" applyBorder="1" applyAlignment="1">
      <alignment horizontal="center"/>
    </xf>
    <xf numFmtId="166" fontId="2" fillId="2" borderId="3" xfId="12" applyNumberFormat="1" applyFont="1" applyFill="1" applyBorder="1" applyAlignment="1">
      <alignment horizontal="center"/>
    </xf>
    <xf numFmtId="166" fontId="1" fillId="2" borderId="3" xfId="12" applyNumberFormat="1" applyFont="1" applyFill="1" applyBorder="1" applyAlignment="1">
      <alignment horizontal="center"/>
    </xf>
    <xf numFmtId="166" fontId="7" fillId="2" borderId="3" xfId="12" applyNumberFormat="1" applyFont="1" applyFill="1" applyBorder="1" applyAlignment="1">
      <alignment horizontal="center"/>
    </xf>
    <xf numFmtId="166" fontId="2" fillId="4" borderId="3" xfId="12" applyNumberFormat="1" applyFont="1" applyFill="1" applyBorder="1" applyAlignment="1">
      <alignment horizontal="center"/>
    </xf>
    <xf numFmtId="165" fontId="1" fillId="2" borderId="27" xfId="1" applyNumberFormat="1" applyFill="1" applyBorder="1" applyAlignment="1">
      <alignment horizontal="center"/>
    </xf>
    <xf numFmtId="166" fontId="0" fillId="2" borderId="27" xfId="1" applyNumberFormat="1" applyFont="1" applyFill="1" applyBorder="1" applyAlignment="1">
      <alignment horizontal="center"/>
    </xf>
    <xf numFmtId="166" fontId="2" fillId="2" borderId="27" xfId="1" applyNumberFormat="1" applyFont="1" applyFill="1" applyBorder="1" applyAlignment="1">
      <alignment horizontal="center"/>
    </xf>
    <xf numFmtId="166" fontId="5" fillId="2" borderId="27" xfId="1" applyNumberFormat="1" applyFont="1" applyFill="1" applyBorder="1" applyAlignment="1">
      <alignment horizontal="center"/>
    </xf>
    <xf numFmtId="166" fontId="1" fillId="2" borderId="27" xfId="1" applyNumberFormat="1" applyFill="1" applyBorder="1" applyAlignment="1">
      <alignment horizontal="center"/>
    </xf>
    <xf numFmtId="166" fontId="7" fillId="2" borderId="27" xfId="1" applyNumberFormat="1" applyFont="1" applyFill="1" applyBorder="1" applyAlignment="1">
      <alignment horizontal="center"/>
    </xf>
    <xf numFmtId="166" fontId="6" fillId="2" borderId="27" xfId="1" applyNumberFormat="1" applyFont="1" applyFill="1" applyBorder="1" applyAlignment="1">
      <alignment horizontal="center"/>
    </xf>
    <xf numFmtId="166" fontId="3" fillId="4" borderId="0" xfId="1" applyNumberFormat="1" applyFont="1" applyFill="1" applyBorder="1" applyAlignment="1">
      <alignment horizontal="center"/>
    </xf>
    <xf numFmtId="166" fontId="1" fillId="4" borderId="0" xfId="1" applyNumberFormat="1" applyFont="1" applyFill="1" applyBorder="1"/>
    <xf numFmtId="0" fontId="1" fillId="2" borderId="3" xfId="0" applyFont="1" applyFill="1" applyBorder="1"/>
    <xf numFmtId="166" fontId="1" fillId="0" borderId="0" xfId="1" applyNumberFormat="1" applyFill="1" applyBorder="1"/>
    <xf numFmtId="0" fontId="8" fillId="0" borderId="3" xfId="0" applyFont="1" applyBorder="1"/>
    <xf numFmtId="165" fontId="1" fillId="0" borderId="8" xfId="1" applyNumberFormat="1" applyFill="1" applyBorder="1" applyAlignment="1">
      <alignment horizontal="center"/>
    </xf>
    <xf numFmtId="168" fontId="18" fillId="5" borderId="0" xfId="5" applyNumberFormat="1" applyFont="1" applyFill="1"/>
    <xf numFmtId="0" fontId="22" fillId="5" borderId="0" xfId="0" applyFont="1" applyFill="1"/>
    <xf numFmtId="41" fontId="18" fillId="5" borderId="0" xfId="4" applyNumberFormat="1" applyFill="1"/>
    <xf numFmtId="41" fontId="18" fillId="5" borderId="20" xfId="4" applyNumberFormat="1" applyFill="1" applyBorder="1"/>
    <xf numFmtId="41" fontId="0" fillId="5" borderId="0" xfId="4" applyNumberFormat="1" applyFont="1" applyFill="1"/>
    <xf numFmtId="168" fontId="2" fillId="5" borderId="11" xfId="2" applyNumberFormat="1" applyFont="1" applyFill="1" applyBorder="1" applyAlignment="1">
      <alignment horizontal="center"/>
    </xf>
    <xf numFmtId="166" fontId="1" fillId="0" borderId="4" xfId="1" applyNumberFormat="1" applyFill="1" applyBorder="1"/>
    <xf numFmtId="0" fontId="29" fillId="0" borderId="0" xfId="0" applyFont="1"/>
    <xf numFmtId="0" fontId="0" fillId="2" borderId="0" xfId="0" applyFill="1" applyAlignment="1">
      <alignment wrapText="1"/>
    </xf>
    <xf numFmtId="0" fontId="0" fillId="2" borderId="27" xfId="0" applyFill="1" applyBorder="1"/>
    <xf numFmtId="0" fontId="2" fillId="2" borderId="28" xfId="0" applyFont="1" applyFill="1" applyBorder="1"/>
    <xf numFmtId="164" fontId="2" fillId="2" borderId="27" xfId="2" applyNumberFormat="1" applyFont="1" applyFill="1" applyBorder="1" applyAlignment="1">
      <alignment horizontal="center"/>
    </xf>
    <xf numFmtId="164" fontId="5" fillId="2" borderId="27" xfId="2" applyNumberFormat="1" applyFont="1" applyFill="1" applyBorder="1" applyAlignment="1">
      <alignment horizontal="center"/>
    </xf>
    <xf numFmtId="166" fontId="3" fillId="2" borderId="27" xfId="1" applyNumberFormat="1" applyFont="1" applyFill="1" applyBorder="1" applyAlignment="1">
      <alignment horizontal="center"/>
    </xf>
    <xf numFmtId="169" fontId="1" fillId="4" borderId="0" xfId="2" applyNumberFormat="1" applyFill="1" applyBorder="1" applyAlignment="1">
      <alignment horizontal="right"/>
    </xf>
    <xf numFmtId="165" fontId="4" fillId="2" borderId="27" xfId="1" applyNumberFormat="1" applyFont="1" applyFill="1" applyBorder="1" applyAlignment="1">
      <alignment horizontal="center"/>
    </xf>
    <xf numFmtId="165" fontId="17" fillId="2" borderId="27" xfId="1" applyNumberFormat="1" applyFont="1" applyFill="1" applyBorder="1" applyAlignment="1">
      <alignment horizontal="center"/>
    </xf>
    <xf numFmtId="0" fontId="2" fillId="2" borderId="27" xfId="0" applyFont="1" applyFill="1" applyBorder="1" applyAlignment="1">
      <alignment wrapText="1"/>
    </xf>
    <xf numFmtId="165" fontId="7" fillId="2" borderId="27" xfId="1" applyNumberFormat="1" applyFont="1" applyFill="1" applyBorder="1" applyAlignment="1">
      <alignment horizontal="center"/>
    </xf>
    <xf numFmtId="166" fontId="3" fillId="2" borderId="0" xfId="11" applyNumberFormat="1" applyFont="1" applyFill="1" applyBorder="1" applyAlignment="1">
      <alignment horizontal="center"/>
    </xf>
    <xf numFmtId="166" fontId="8" fillId="2" borderId="0" xfId="11" applyNumberFormat="1" applyFont="1" applyFill="1" applyBorder="1" applyAlignment="1">
      <alignment horizontal="center"/>
    </xf>
    <xf numFmtId="166" fontId="10" fillId="2" borderId="0" xfId="11" applyNumberFormat="1" applyFont="1" applyFill="1" applyBorder="1" applyAlignment="1">
      <alignment horizontal="center"/>
    </xf>
    <xf numFmtId="166" fontId="11" fillId="2" borderId="0" xfId="11" applyNumberFormat="1" applyFont="1" applyFill="1" applyBorder="1" applyAlignment="1">
      <alignment horizontal="center"/>
    </xf>
    <xf numFmtId="166" fontId="0" fillId="0" borderId="0" xfId="1" applyNumberFormat="1" applyFont="1" applyFill="1" applyBorder="1" applyAlignment="1">
      <alignment horizontal="center"/>
    </xf>
    <xf numFmtId="166" fontId="7" fillId="0" borderId="0" xfId="1" applyNumberFormat="1" applyFont="1" applyFill="1" applyBorder="1" applyAlignment="1">
      <alignment horizontal="center"/>
    </xf>
    <xf numFmtId="166" fontId="1" fillId="0" borderId="0" xfId="1" applyNumberFormat="1" applyFont="1" applyFill="1" applyBorder="1" applyAlignment="1">
      <alignment horizontal="center"/>
    </xf>
    <xf numFmtId="166" fontId="6" fillId="0" borderId="0" xfId="1" applyNumberFormat="1" applyFont="1" applyFill="1" applyBorder="1" applyAlignment="1">
      <alignment horizontal="center"/>
    </xf>
    <xf numFmtId="166" fontId="7" fillId="0" borderId="0" xfId="12" applyNumberFormat="1" applyFont="1" applyFill="1" applyBorder="1" applyAlignment="1">
      <alignment horizontal="center"/>
    </xf>
    <xf numFmtId="0" fontId="2" fillId="0" borderId="7" xfId="0" applyFont="1" applyBorder="1"/>
    <xf numFmtId="166" fontId="1" fillId="0" borderId="4" xfId="1" applyNumberFormat="1" applyFont="1" applyFill="1" applyBorder="1" applyAlignment="1">
      <alignment horizontal="center"/>
    </xf>
    <xf numFmtId="164" fontId="2" fillId="2" borderId="2" xfId="2" applyNumberFormat="1" applyFont="1" applyFill="1" applyBorder="1" applyAlignment="1">
      <alignment horizontal="center"/>
    </xf>
    <xf numFmtId="164" fontId="19" fillId="4" borderId="29" xfId="2" applyNumberFormat="1" applyFont="1" applyFill="1" applyBorder="1" applyAlignment="1">
      <alignment horizontal="center"/>
    </xf>
    <xf numFmtId="0" fontId="8" fillId="2" borderId="20" xfId="0" applyFont="1" applyFill="1" applyBorder="1"/>
    <xf numFmtId="166" fontId="3" fillId="2" borderId="4" xfId="11" applyNumberFormat="1" applyFont="1" applyFill="1" applyBorder="1" applyAlignment="1">
      <alignment horizontal="center"/>
    </xf>
    <xf numFmtId="166" fontId="8" fillId="2" borderId="4" xfId="11" applyNumberFormat="1" applyFont="1" applyFill="1" applyBorder="1" applyAlignment="1">
      <alignment horizontal="center"/>
    </xf>
    <xf numFmtId="166" fontId="8" fillId="0" borderId="3" xfId="11" applyNumberFormat="1" applyFont="1" applyFill="1" applyBorder="1" applyAlignment="1">
      <alignment horizontal="center"/>
    </xf>
    <xf numFmtId="166" fontId="8" fillId="0" borderId="0" xfId="11" applyNumberFormat="1" applyFont="1" applyFill="1" applyBorder="1" applyAlignment="1">
      <alignment horizontal="center"/>
    </xf>
    <xf numFmtId="166" fontId="8" fillId="0" borderId="0" xfId="1" applyNumberFormat="1" applyFont="1" applyFill="1" applyBorder="1" applyAlignment="1">
      <alignment horizontal="center"/>
    </xf>
    <xf numFmtId="166" fontId="8" fillId="0" borderId="4" xfId="1" applyNumberFormat="1" applyFont="1" applyFill="1" applyBorder="1" applyAlignment="1">
      <alignment horizontal="center"/>
    </xf>
    <xf numFmtId="166" fontId="11" fillId="0" borderId="3" xfId="11" applyNumberFormat="1" applyFont="1" applyFill="1" applyBorder="1" applyAlignment="1">
      <alignment horizontal="center"/>
    </xf>
    <xf numFmtId="166" fontId="11" fillId="0" borderId="0" xfId="11" applyNumberFormat="1" applyFont="1" applyFill="1" applyBorder="1" applyAlignment="1">
      <alignment horizontal="center"/>
    </xf>
    <xf numFmtId="166" fontId="11" fillId="0" borderId="0" xfId="1" applyNumberFormat="1" applyFont="1" applyFill="1" applyBorder="1" applyAlignment="1">
      <alignment horizontal="center"/>
    </xf>
    <xf numFmtId="166" fontId="11" fillId="0" borderId="4" xfId="1" applyNumberFormat="1" applyFont="1" applyFill="1" applyBorder="1" applyAlignment="1">
      <alignment horizontal="center"/>
    </xf>
    <xf numFmtId="166" fontId="1" fillId="0" borderId="4" xfId="1" applyNumberFormat="1" applyFill="1" applyBorder="1" applyAlignment="1">
      <alignment horizontal="center"/>
    </xf>
    <xf numFmtId="166" fontId="7" fillId="0" borderId="4" xfId="1" applyNumberFormat="1" applyFont="1" applyFill="1" applyBorder="1" applyAlignment="1">
      <alignment horizontal="center"/>
    </xf>
    <xf numFmtId="166" fontId="7" fillId="0" borderId="0" xfId="1" applyNumberFormat="1" applyFont="1" applyFill="1" applyBorder="1"/>
    <xf numFmtId="166" fontId="7" fillId="0" borderId="4" xfId="1" applyNumberFormat="1" applyFont="1" applyFill="1" applyBorder="1"/>
    <xf numFmtId="166" fontId="1" fillId="0" borderId="3" xfId="1" applyNumberFormat="1" applyFill="1" applyBorder="1" applyAlignment="1">
      <alignment horizontal="center"/>
    </xf>
    <xf numFmtId="166" fontId="1" fillId="0" borderId="3" xfId="12" applyNumberFormat="1" applyFont="1" applyFill="1" applyBorder="1" applyAlignment="1">
      <alignment horizontal="center"/>
    </xf>
    <xf numFmtId="166" fontId="7" fillId="0" borderId="3" xfId="12" applyNumberFormat="1" applyFont="1" applyFill="1" applyBorder="1" applyAlignment="1">
      <alignment horizontal="center"/>
    </xf>
    <xf numFmtId="166" fontId="2" fillId="0" borderId="3" xfId="12" applyNumberFormat="1" applyFont="1" applyFill="1" applyBorder="1" applyAlignment="1">
      <alignment horizontal="center"/>
    </xf>
    <xf numFmtId="166" fontId="2" fillId="0" borderId="4" xfId="1" applyNumberFormat="1" applyFont="1" applyFill="1" applyBorder="1" applyAlignment="1">
      <alignment horizontal="center"/>
    </xf>
    <xf numFmtId="166" fontId="7" fillId="0" borderId="4" xfId="12" applyNumberFormat="1" applyFont="1" applyFill="1" applyBorder="1" applyAlignment="1">
      <alignment horizontal="center"/>
    </xf>
    <xf numFmtId="166" fontId="2" fillId="4" borderId="8" xfId="1" applyNumberFormat="1" applyFont="1" applyFill="1" applyBorder="1"/>
    <xf numFmtId="166" fontId="1" fillId="0" borderId="3" xfId="1" applyNumberFormat="1" applyFill="1" applyBorder="1"/>
    <xf numFmtId="166" fontId="7" fillId="0" borderId="3" xfId="1" applyNumberFormat="1" applyFont="1" applyFill="1" applyBorder="1"/>
    <xf numFmtId="10" fontId="2" fillId="0" borderId="4" xfId="1" applyNumberFormat="1" applyFont="1" applyFill="1" applyBorder="1" applyAlignment="1">
      <alignment horizontal="center"/>
    </xf>
    <xf numFmtId="10" fontId="2" fillId="0" borderId="8" xfId="1" applyNumberFormat="1" applyFont="1" applyFill="1" applyBorder="1" applyAlignment="1">
      <alignment horizontal="center"/>
    </xf>
    <xf numFmtId="167" fontId="2" fillId="0" borderId="4" xfId="3" applyNumberFormat="1" applyFont="1" applyFill="1" applyBorder="1"/>
    <xf numFmtId="167" fontId="2" fillId="0" borderId="8" xfId="3" applyNumberFormat="1" applyFont="1" applyFill="1" applyBorder="1"/>
    <xf numFmtId="10" fontId="15" fillId="0" borderId="4" xfId="0" applyNumberFormat="1" applyFont="1" applyBorder="1"/>
    <xf numFmtId="10" fontId="15" fillId="0" borderId="8" xfId="0" applyNumberFormat="1" applyFont="1" applyBorder="1"/>
    <xf numFmtId="10" fontId="2" fillId="0" borderId="4" xfId="2" applyNumberFormat="1" applyFont="1" applyFill="1" applyBorder="1" applyAlignment="1">
      <alignment horizontal="center"/>
    </xf>
    <xf numFmtId="10" fontId="3" fillId="0" borderId="8" xfId="1" applyNumberFormat="1" applyFont="1" applyFill="1" applyBorder="1" applyAlignment="1">
      <alignment horizontal="center"/>
    </xf>
    <xf numFmtId="166" fontId="2" fillId="0" borderId="0" xfId="1" applyNumberFormat="1" applyFont="1" applyFill="1" applyBorder="1"/>
    <xf numFmtId="166" fontId="15" fillId="0" borderId="0" xfId="1" applyNumberFormat="1" applyFont="1" applyFill="1" applyBorder="1"/>
    <xf numFmtId="166" fontId="3" fillId="0" borderId="0" xfId="1" applyNumberFormat="1" applyFont="1" applyFill="1" applyBorder="1" applyAlignment="1">
      <alignment horizontal="center"/>
    </xf>
    <xf numFmtId="166" fontId="2" fillId="0" borderId="0" xfId="2" applyNumberFormat="1" applyFont="1" applyFill="1" applyBorder="1" applyAlignment="1">
      <alignment horizontal="center"/>
    </xf>
    <xf numFmtId="166" fontId="2" fillId="0" borderId="4" xfId="1" applyNumberFormat="1" applyFont="1" applyFill="1" applyBorder="1"/>
    <xf numFmtId="166" fontId="15" fillId="0" borderId="4" xfId="1" applyNumberFormat="1" applyFont="1" applyFill="1" applyBorder="1"/>
    <xf numFmtId="166" fontId="3" fillId="0" borderId="4" xfId="1" applyNumberFormat="1" applyFont="1" applyFill="1" applyBorder="1" applyAlignment="1">
      <alignment horizontal="center"/>
    </xf>
    <xf numFmtId="166" fontId="2" fillId="0" borderId="4" xfId="2" applyNumberFormat="1" applyFont="1" applyFill="1" applyBorder="1" applyAlignment="1">
      <alignment horizontal="center"/>
    </xf>
    <xf numFmtId="0" fontId="2" fillId="0" borderId="10" xfId="0" applyFont="1" applyBorder="1" applyAlignment="1">
      <alignment horizontal="center" wrapText="1"/>
    </xf>
    <xf numFmtId="168" fontId="18" fillId="0" borderId="0" xfId="5" applyNumberFormat="1" applyFont="1" applyFill="1"/>
    <xf numFmtId="0" fontId="22" fillId="0" borderId="0" xfId="0" applyFont="1"/>
    <xf numFmtId="41" fontId="18" fillId="0" borderId="0" xfId="4" applyNumberFormat="1"/>
    <xf numFmtId="41" fontId="18" fillId="0" borderId="20" xfId="4" applyNumberFormat="1" applyBorder="1"/>
    <xf numFmtId="41" fontId="0" fillId="0" borderId="0" xfId="4" applyNumberFormat="1" applyFont="1"/>
    <xf numFmtId="168" fontId="2" fillId="0" borderId="11" xfId="2" applyNumberFormat="1" applyFont="1" applyFill="1" applyBorder="1" applyAlignment="1">
      <alignment horizontal="center"/>
    </xf>
    <xf numFmtId="166" fontId="0" fillId="0" borderId="0" xfId="1" applyNumberFormat="1" applyFont="1" applyFill="1" applyAlignment="1">
      <alignment horizontal="center"/>
    </xf>
    <xf numFmtId="166" fontId="3" fillId="0" borderId="3" xfId="11" applyNumberFormat="1" applyFont="1" applyFill="1" applyBorder="1" applyAlignment="1">
      <alignment horizontal="center"/>
    </xf>
    <xf numFmtId="166" fontId="9" fillId="0" borderId="3" xfId="11" applyNumberFormat="1" applyFont="1" applyFill="1" applyBorder="1" applyAlignment="1">
      <alignment horizontal="center"/>
    </xf>
    <xf numFmtId="166" fontId="19" fillId="0" borderId="0" xfId="1" applyNumberFormat="1" applyFont="1" applyFill="1" applyBorder="1"/>
    <xf numFmtId="166" fontId="3" fillId="0" borderId="0" xfId="11" applyNumberFormat="1" applyFont="1" applyFill="1" applyBorder="1" applyAlignment="1">
      <alignment horizontal="center"/>
    </xf>
    <xf numFmtId="166" fontId="6" fillId="0" borderId="3" xfId="1" applyNumberFormat="1" applyFont="1" applyFill="1" applyBorder="1"/>
    <xf numFmtId="166" fontId="6" fillId="0" borderId="0" xfId="1" applyNumberFormat="1" applyFont="1" applyFill="1" applyBorder="1"/>
    <xf numFmtId="166" fontId="10" fillId="0" borderId="3" xfId="11" applyNumberFormat="1" applyFont="1" applyFill="1" applyBorder="1" applyAlignment="1">
      <alignment horizontal="center"/>
    </xf>
    <xf numFmtId="166" fontId="1" fillId="0" borderId="0" xfId="1" applyNumberFormat="1" applyFont="1" applyFill="1" applyBorder="1"/>
    <xf numFmtId="166" fontId="0" fillId="0" borderId="0" xfId="1" applyNumberFormat="1" applyFont="1" applyFill="1" applyBorder="1"/>
    <xf numFmtId="166" fontId="19" fillId="0" borderId="4" xfId="1" applyNumberFormat="1" applyFont="1" applyFill="1" applyBorder="1"/>
    <xf numFmtId="166" fontId="3" fillId="0" borderId="4" xfId="11" applyNumberFormat="1" applyFont="1" applyFill="1" applyBorder="1" applyAlignment="1">
      <alignment horizontal="center"/>
    </xf>
    <xf numFmtId="166" fontId="6" fillId="0" borderId="4" xfId="1" applyNumberFormat="1" applyFont="1" applyFill="1" applyBorder="1"/>
    <xf numFmtId="166" fontId="8" fillId="0" borderId="4" xfId="11" applyNumberFormat="1" applyFont="1" applyFill="1" applyBorder="1" applyAlignment="1">
      <alignment horizontal="center"/>
    </xf>
    <xf numFmtId="166" fontId="24" fillId="0" borderId="3" xfId="1" applyNumberFormat="1" applyFont="1" applyFill="1" applyBorder="1"/>
    <xf numFmtId="166" fontId="24" fillId="0" borderId="0" xfId="1" applyNumberFormat="1" applyFont="1" applyFill="1" applyBorder="1"/>
    <xf numFmtId="166" fontId="24" fillId="0" borderId="4" xfId="1" applyNumberFormat="1" applyFont="1" applyFill="1" applyBorder="1"/>
    <xf numFmtId="166" fontId="1" fillId="0" borderId="4" xfId="1" applyNumberFormat="1" applyFont="1" applyFill="1" applyBorder="1"/>
    <xf numFmtId="166" fontId="24" fillId="4" borderId="3" xfId="1" applyNumberFormat="1" applyFont="1" applyFill="1" applyBorder="1"/>
    <xf numFmtId="166" fontId="24" fillId="4" borderId="0" xfId="1" applyNumberFormat="1" applyFont="1" applyFill="1" applyBorder="1"/>
    <xf numFmtId="166" fontId="24" fillId="4" borderId="4" xfId="1" applyNumberFormat="1" applyFont="1" applyFill="1" applyBorder="1"/>
    <xf numFmtId="166" fontId="6" fillId="0" borderId="3" xfId="1" applyNumberFormat="1" applyFont="1" applyFill="1" applyBorder="1" applyAlignment="1">
      <alignment horizontal="center"/>
    </xf>
    <xf numFmtId="166" fontId="0" fillId="0" borderId="0" xfId="7" applyNumberFormat="1" applyFont="1" applyFill="1" applyBorder="1"/>
    <xf numFmtId="166" fontId="2" fillId="0" borderId="3" xfId="1" applyNumberFormat="1" applyFont="1" applyFill="1" applyBorder="1" applyAlignment="1">
      <alignment horizontal="center"/>
    </xf>
    <xf numFmtId="166" fontId="19" fillId="4" borderId="0" xfId="1" applyNumberFormat="1" applyFont="1" applyFill="1" applyAlignment="1">
      <alignment horizontal="center"/>
    </xf>
    <xf numFmtId="0" fontId="2" fillId="2" borderId="4" xfId="2" applyNumberFormat="1" applyFont="1" applyFill="1" applyBorder="1" applyAlignment="1">
      <alignment horizontal="center"/>
    </xf>
    <xf numFmtId="166" fontId="19" fillId="4" borderId="3" xfId="1" applyNumberFormat="1" applyFont="1" applyFill="1" applyBorder="1" applyAlignment="1">
      <alignment horizontal="center"/>
    </xf>
    <xf numFmtId="166" fontId="19" fillId="4" borderId="0" xfId="1" applyNumberFormat="1" applyFont="1" applyFill="1" applyBorder="1" applyAlignment="1">
      <alignment horizontal="center"/>
    </xf>
    <xf numFmtId="166" fontId="19" fillId="4" borderId="4" xfId="1" applyNumberFormat="1" applyFont="1" applyFill="1" applyBorder="1" applyAlignment="1">
      <alignment horizontal="center"/>
    </xf>
    <xf numFmtId="166" fontId="2" fillId="0" borderId="3" xfId="1" applyNumberFormat="1" applyFont="1" applyFill="1" applyBorder="1"/>
    <xf numFmtId="166" fontId="2" fillId="0" borderId="0" xfId="1" applyNumberFormat="1" applyFont="1" applyFill="1" applyAlignment="1">
      <alignment horizontal="center"/>
    </xf>
    <xf numFmtId="166" fontId="1" fillId="0" borderId="3" xfId="1" applyNumberFormat="1" applyFont="1" applyFill="1" applyBorder="1"/>
    <xf numFmtId="0" fontId="2" fillId="2" borderId="3" xfId="2" applyNumberFormat="1" applyFont="1" applyFill="1" applyBorder="1" applyAlignment="1">
      <alignment horizontal="center"/>
    </xf>
    <xf numFmtId="166" fontId="1" fillId="4" borderId="4" xfId="1" applyNumberFormat="1" applyFont="1" applyFill="1" applyBorder="1" applyAlignment="1">
      <alignment horizontal="center"/>
    </xf>
    <xf numFmtId="166" fontId="6" fillId="4" borderId="0" xfId="1" applyNumberFormat="1" applyFont="1" applyFill="1" applyBorder="1" applyAlignment="1">
      <alignment horizontal="center"/>
    </xf>
    <xf numFmtId="168" fontId="35" fillId="0" borderId="0" xfId="5" applyNumberFormat="1" applyFont="1" applyFill="1"/>
    <xf numFmtId="166" fontId="1" fillId="0" borderId="27" xfId="1" applyNumberFormat="1" applyFill="1" applyBorder="1"/>
    <xf numFmtId="166" fontId="3" fillId="0" borderId="27" xfId="11" applyNumberFormat="1" applyFont="1" applyFill="1" applyBorder="1" applyAlignment="1">
      <alignment horizontal="center"/>
    </xf>
    <xf numFmtId="166" fontId="3" fillId="2" borderId="27" xfId="11" applyNumberFormat="1" applyFont="1" applyFill="1" applyBorder="1" applyAlignment="1">
      <alignment horizontal="center"/>
    </xf>
    <xf numFmtId="166" fontId="2" fillId="0" borderId="27" xfId="1" applyNumberFormat="1" applyFont="1" applyFill="1" applyBorder="1" applyAlignment="1">
      <alignment horizontal="center"/>
    </xf>
    <xf numFmtId="166" fontId="7" fillId="0" borderId="27" xfId="12" applyNumberFormat="1" applyFont="1" applyFill="1" applyBorder="1" applyAlignment="1">
      <alignment horizontal="center"/>
    </xf>
    <xf numFmtId="167" fontId="2" fillId="0" borderId="27" xfId="3" applyNumberFormat="1" applyFont="1" applyFill="1" applyBorder="1"/>
    <xf numFmtId="167" fontId="2" fillId="0" borderId="28" xfId="3" applyNumberFormat="1" applyFont="1" applyFill="1" applyBorder="1"/>
    <xf numFmtId="166" fontId="7" fillId="0" borderId="3" xfId="1" applyNumberFormat="1" applyFont="1" applyFill="1" applyBorder="1" applyAlignment="1">
      <alignment horizontal="center"/>
    </xf>
    <xf numFmtId="166" fontId="6" fillId="0" borderId="4" xfId="1" applyNumberFormat="1" applyFont="1" applyFill="1" applyBorder="1" applyAlignment="1">
      <alignment horizontal="center"/>
    </xf>
    <xf numFmtId="166" fontId="8" fillId="0" borderId="3" xfId="1" applyNumberFormat="1" applyFont="1" applyFill="1" applyBorder="1" applyAlignment="1">
      <alignment horizontal="center"/>
    </xf>
    <xf numFmtId="166" fontId="14" fillId="2" borderId="3" xfId="1" applyNumberFormat="1" applyFont="1" applyFill="1" applyBorder="1" applyAlignment="1">
      <alignment horizontal="center"/>
    </xf>
    <xf numFmtId="166" fontId="14" fillId="0" borderId="0" xfId="1" applyNumberFormat="1" applyFont="1" applyFill="1" applyBorder="1" applyAlignment="1">
      <alignment horizontal="center"/>
    </xf>
    <xf numFmtId="166" fontId="14" fillId="2" borderId="0" xfId="1" applyNumberFormat="1" applyFont="1" applyFill="1" applyBorder="1" applyAlignment="1">
      <alignment horizontal="center"/>
    </xf>
    <xf numFmtId="166" fontId="21" fillId="4" borderId="4" xfId="1" applyNumberFormat="1" applyFont="1" applyFill="1" applyBorder="1"/>
    <xf numFmtId="166" fontId="10" fillId="0" borderId="4" xfId="1" applyNumberFormat="1" applyFont="1" applyFill="1" applyBorder="1"/>
    <xf numFmtId="166" fontId="3" fillId="0" borderId="4" xfId="1" applyNumberFormat="1" applyFont="1" applyFill="1" applyBorder="1"/>
    <xf numFmtId="166" fontId="11" fillId="0" borderId="4" xfId="12" applyNumberFormat="1" applyFont="1" applyFill="1" applyBorder="1" applyAlignment="1">
      <alignment horizontal="center"/>
    </xf>
    <xf numFmtId="166" fontId="21" fillId="4" borderId="0" xfId="1" applyNumberFormat="1" applyFont="1" applyFill="1" applyBorder="1"/>
    <xf numFmtId="166" fontId="8" fillId="0" borderId="4" xfId="1" applyNumberFormat="1" applyFont="1" applyFill="1" applyBorder="1"/>
    <xf numFmtId="166" fontId="3" fillId="0" borderId="3" xfId="1" applyNumberFormat="1" applyFont="1" applyFill="1" applyBorder="1" applyAlignment="1">
      <alignment horizontal="center"/>
    </xf>
    <xf numFmtId="0" fontId="15" fillId="2" borderId="26" xfId="0" applyFont="1" applyFill="1" applyBorder="1" applyAlignment="1">
      <alignment horizontal="center"/>
    </xf>
    <xf numFmtId="43" fontId="0" fillId="2" borderId="0" xfId="1" applyFont="1" applyFill="1" applyAlignment="1">
      <alignment horizontal="left" vertical="top" wrapText="1"/>
    </xf>
    <xf numFmtId="43" fontId="0" fillId="2" borderId="0" xfId="1" applyFont="1" applyFill="1"/>
    <xf numFmtId="43" fontId="0" fillId="2" borderId="0" xfId="0" applyNumberFormat="1" applyFill="1"/>
    <xf numFmtId="0" fontId="5" fillId="2" borderId="27" xfId="2" applyNumberFormat="1" applyFont="1" applyFill="1" applyBorder="1" applyAlignment="1">
      <alignment horizontal="center"/>
    </xf>
    <xf numFmtId="166" fontId="1" fillId="0" borderId="27" xfId="1" applyNumberFormat="1" applyFill="1" applyBorder="1" applyAlignment="1">
      <alignment horizontal="center"/>
    </xf>
    <xf numFmtId="166" fontId="2" fillId="2" borderId="27" xfId="12" applyNumberFormat="1" applyFont="1" applyFill="1" applyBorder="1" applyAlignment="1">
      <alignment horizontal="center"/>
    </xf>
    <xf numFmtId="166" fontId="1" fillId="0" borderId="27" xfId="12" applyNumberFormat="1" applyFont="1" applyFill="1" applyBorder="1" applyAlignment="1">
      <alignment horizontal="center"/>
    </xf>
    <xf numFmtId="166" fontId="2" fillId="0" borderId="27" xfId="12" applyNumberFormat="1" applyFont="1" applyFill="1" applyBorder="1" applyAlignment="1">
      <alignment horizontal="center"/>
    </xf>
    <xf numFmtId="166" fontId="3" fillId="0" borderId="27" xfId="1" applyNumberFormat="1" applyFont="1" applyFill="1" applyBorder="1" applyAlignment="1">
      <alignment horizontal="center"/>
    </xf>
    <xf numFmtId="166" fontId="2" fillId="4" borderId="30" xfId="1" applyNumberFormat="1" applyFont="1" applyFill="1" applyBorder="1" applyAlignment="1">
      <alignment horizontal="center"/>
    </xf>
    <xf numFmtId="166" fontId="1" fillId="4" borderId="30" xfId="1" applyNumberFormat="1" applyFont="1" applyFill="1" applyBorder="1" applyAlignment="1">
      <alignment horizontal="center"/>
    </xf>
    <xf numFmtId="166" fontId="1" fillId="2" borderId="30" xfId="1" applyNumberFormat="1" applyFont="1" applyFill="1" applyBorder="1" applyAlignment="1">
      <alignment horizontal="center"/>
    </xf>
    <xf numFmtId="49" fontId="2" fillId="2" borderId="26" xfId="2" applyNumberFormat="1" applyFont="1" applyFill="1" applyBorder="1" applyAlignment="1">
      <alignment horizontal="center"/>
    </xf>
    <xf numFmtId="166" fontId="2" fillId="2" borderId="27" xfId="2" applyNumberFormat="1" applyFont="1" applyFill="1" applyBorder="1" applyAlignment="1">
      <alignment horizontal="center"/>
    </xf>
    <xf numFmtId="166" fontId="9" fillId="2" borderId="27" xfId="11" applyNumberFormat="1" applyFont="1" applyFill="1" applyBorder="1" applyAlignment="1">
      <alignment horizontal="center"/>
    </xf>
    <xf numFmtId="166" fontId="8" fillId="2" borderId="27" xfId="11" applyNumberFormat="1" applyFont="1" applyFill="1" applyBorder="1" applyAlignment="1">
      <alignment horizontal="center"/>
    </xf>
    <xf numFmtId="166" fontId="10" fillId="2" borderId="27" xfId="11" applyNumberFormat="1" applyFont="1" applyFill="1" applyBorder="1" applyAlignment="1">
      <alignment horizontal="center"/>
    </xf>
    <xf numFmtId="166" fontId="8" fillId="0" borderId="27" xfId="11" applyNumberFormat="1" applyFont="1" applyFill="1" applyBorder="1" applyAlignment="1">
      <alignment horizontal="center"/>
    </xf>
    <xf numFmtId="166" fontId="11" fillId="0" borderId="27" xfId="11" applyNumberFormat="1" applyFont="1" applyFill="1" applyBorder="1" applyAlignment="1">
      <alignment horizontal="center"/>
    </xf>
    <xf numFmtId="166" fontId="6" fillId="0" borderId="27" xfId="1" applyNumberFormat="1" applyFont="1" applyFill="1" applyBorder="1" applyAlignment="1">
      <alignment horizontal="center"/>
    </xf>
    <xf numFmtId="166" fontId="1" fillId="2" borderId="27" xfId="12" applyNumberFormat="1" applyFont="1" applyFill="1" applyBorder="1" applyAlignment="1">
      <alignment horizontal="center"/>
    </xf>
    <xf numFmtId="166" fontId="7" fillId="2" borderId="27" xfId="12" applyNumberFormat="1" applyFont="1" applyFill="1" applyBorder="1" applyAlignment="1">
      <alignment horizontal="center"/>
    </xf>
    <xf numFmtId="166" fontId="2" fillId="4" borderId="27" xfId="12" applyNumberFormat="1" applyFont="1" applyFill="1" applyBorder="1" applyAlignment="1">
      <alignment horizontal="center"/>
    </xf>
    <xf numFmtId="0" fontId="5" fillId="2" borderId="31" xfId="2" applyNumberFormat="1" applyFont="1" applyFill="1" applyBorder="1" applyAlignment="1">
      <alignment horizontal="center"/>
    </xf>
    <xf numFmtId="166" fontId="2" fillId="2" borderId="28" xfId="1" applyNumberFormat="1" applyFont="1" applyFill="1" applyBorder="1" applyAlignment="1">
      <alignment horizontal="center"/>
    </xf>
    <xf numFmtId="166" fontId="24" fillId="0" borderId="27" xfId="1" applyNumberFormat="1" applyFont="1" applyFill="1" applyBorder="1"/>
    <xf numFmtId="0" fontId="24" fillId="4" borderId="27" xfId="0" applyFont="1" applyFill="1" applyBorder="1"/>
    <xf numFmtId="0" fontId="0" fillId="6" borderId="1" xfId="0" applyFill="1" applyBorder="1"/>
    <xf numFmtId="166" fontId="2" fillId="4" borderId="27" xfId="1" applyNumberFormat="1" applyFont="1" applyFill="1" applyBorder="1"/>
    <xf numFmtId="166" fontId="5" fillId="4" borderId="27" xfId="1" applyNumberFormat="1" applyFont="1" applyFill="1" applyBorder="1"/>
    <xf numFmtId="166" fontId="1" fillId="4" borderId="27" xfId="1" applyNumberFormat="1" applyFill="1" applyBorder="1"/>
    <xf numFmtId="166" fontId="7" fillId="4" borderId="27" xfId="1" applyNumberFormat="1" applyFont="1" applyFill="1" applyBorder="1"/>
    <xf numFmtId="166" fontId="3" fillId="2" borderId="27" xfId="1" applyNumberFormat="1" applyFont="1" applyFill="1" applyBorder="1"/>
    <xf numFmtId="166" fontId="2" fillId="4" borderId="28" xfId="1" applyNumberFormat="1" applyFont="1" applyFill="1" applyBorder="1"/>
    <xf numFmtId="166" fontId="2" fillId="0" borderId="27" xfId="2" applyNumberFormat="1" applyFont="1" applyFill="1" applyBorder="1" applyAlignment="1">
      <alignment horizontal="center"/>
    </xf>
    <xf numFmtId="166" fontId="3" fillId="0" borderId="28" xfId="1" applyNumberFormat="1" applyFont="1" applyFill="1" applyBorder="1" applyAlignment="1">
      <alignment horizontal="center"/>
    </xf>
    <xf numFmtId="166" fontId="0" fillId="2" borderId="0" xfId="0" applyNumberFormat="1" applyFill="1" applyAlignment="1">
      <alignment horizontal="left" vertical="top" wrapText="1"/>
    </xf>
    <xf numFmtId="166" fontId="6" fillId="4" borderId="3" xfId="1" applyNumberFormat="1" applyFont="1" applyFill="1" applyBorder="1"/>
    <xf numFmtId="166" fontId="6" fillId="4" borderId="0" xfId="1" applyNumberFormat="1" applyFont="1" applyFill="1" applyBorder="1"/>
    <xf numFmtId="166" fontId="6" fillId="4" borderId="4" xfId="1" applyNumberFormat="1" applyFont="1" applyFill="1" applyBorder="1"/>
    <xf numFmtId="0" fontId="1" fillId="2" borderId="0" xfId="0" applyFont="1" applyFill="1"/>
    <xf numFmtId="166" fontId="1" fillId="4" borderId="3" xfId="1" applyNumberFormat="1" applyFont="1" applyFill="1" applyBorder="1" applyAlignment="1">
      <alignment horizontal="center"/>
    </xf>
    <xf numFmtId="166" fontId="1" fillId="4" borderId="27" xfId="1" applyNumberFormat="1" applyFont="1" applyFill="1" applyBorder="1" applyAlignment="1">
      <alignment horizontal="center"/>
    </xf>
    <xf numFmtId="43" fontId="0" fillId="4" borderId="27" xfId="1" applyFont="1" applyFill="1" applyBorder="1"/>
    <xf numFmtId="166" fontId="6" fillId="4" borderId="27" xfId="1" applyNumberFormat="1" applyFont="1" applyFill="1" applyBorder="1"/>
    <xf numFmtId="166" fontId="0" fillId="4" borderId="27" xfId="1" applyNumberFormat="1" applyFont="1" applyFill="1" applyBorder="1"/>
    <xf numFmtId="166" fontId="8" fillId="2" borderId="27" xfId="1" applyNumberFormat="1" applyFont="1" applyFill="1" applyBorder="1"/>
    <xf numFmtId="166" fontId="8" fillId="4" borderId="3" xfId="1" applyNumberFormat="1" applyFont="1" applyFill="1" applyBorder="1"/>
    <xf numFmtId="166" fontId="8" fillId="4" borderId="0" xfId="1" applyNumberFormat="1" applyFont="1" applyFill="1" applyBorder="1"/>
    <xf numFmtId="166" fontId="8" fillId="4" borderId="4" xfId="1" applyNumberFormat="1" applyFont="1" applyFill="1" applyBorder="1"/>
    <xf numFmtId="166" fontId="9" fillId="2" borderId="0" xfId="1" applyNumberFormat="1" applyFont="1" applyFill="1"/>
    <xf numFmtId="166" fontId="14" fillId="5" borderId="0" xfId="1" applyNumberFormat="1" applyFont="1" applyFill="1"/>
    <xf numFmtId="166" fontId="10" fillId="0" borderId="0" xfId="1" applyNumberFormat="1" applyFont="1" applyFill="1" applyBorder="1" applyAlignment="1">
      <alignment horizontal="center"/>
    </xf>
    <xf numFmtId="166" fontId="10" fillId="4" borderId="0" xfId="1" applyNumberFormat="1" applyFont="1" applyFill="1" applyBorder="1" applyAlignment="1">
      <alignment horizontal="center"/>
    </xf>
    <xf numFmtId="166" fontId="10" fillId="0" borderId="4" xfId="1" applyNumberFormat="1" applyFont="1" applyFill="1" applyBorder="1" applyAlignment="1">
      <alignment horizontal="center"/>
    </xf>
    <xf numFmtId="166" fontId="10" fillId="4" borderId="3" xfId="1" applyNumberFormat="1" applyFont="1" applyFill="1" applyBorder="1" applyAlignment="1">
      <alignment horizontal="center"/>
    </xf>
    <xf numFmtId="166" fontId="10" fillId="0" borderId="3" xfId="1" applyNumberFormat="1" applyFont="1" applyFill="1" applyBorder="1" applyAlignment="1">
      <alignment horizontal="center"/>
    </xf>
    <xf numFmtId="166" fontId="0" fillId="0" borderId="3" xfId="1" applyNumberFormat="1" applyFont="1" applyFill="1" applyBorder="1" applyAlignment="1">
      <alignment horizontal="center"/>
    </xf>
    <xf numFmtId="166" fontId="14" fillId="0" borderId="3" xfId="1" applyNumberFormat="1" applyFont="1" applyFill="1" applyBorder="1" applyAlignment="1">
      <alignment horizontal="center"/>
    </xf>
    <xf numFmtId="166" fontId="1" fillId="0" borderId="3" xfId="1" applyNumberFormat="1" applyFont="1" applyFill="1" applyBorder="1" applyAlignment="1">
      <alignment horizontal="center"/>
    </xf>
    <xf numFmtId="166" fontId="19" fillId="4" borderId="0" xfId="1" applyNumberFormat="1" applyFont="1" applyFill="1" applyBorder="1"/>
    <xf numFmtId="166" fontId="0" fillId="0" borderId="0" xfId="0" applyNumberFormat="1"/>
    <xf numFmtId="166" fontId="9" fillId="2" borderId="0" xfId="1" applyNumberFormat="1" applyFont="1" applyFill="1" applyBorder="1"/>
    <xf numFmtId="166" fontId="0" fillId="0" borderId="3" xfId="1" applyNumberFormat="1" applyFont="1" applyFill="1" applyBorder="1"/>
    <xf numFmtId="166" fontId="0" fillId="0" borderId="4" xfId="1" applyNumberFormat="1" applyFont="1" applyFill="1" applyBorder="1"/>
    <xf numFmtId="166" fontId="5" fillId="0" borderId="0" xfId="1" applyNumberFormat="1" applyFont="1" applyFill="1" applyBorder="1"/>
    <xf numFmtId="0" fontId="5" fillId="0" borderId="3" xfId="0" applyFont="1" applyBorder="1" applyAlignment="1">
      <alignment horizontal="center"/>
    </xf>
    <xf numFmtId="0" fontId="5" fillId="0" borderId="0" xfId="0" applyFont="1" applyAlignment="1">
      <alignment horizontal="center"/>
    </xf>
    <xf numFmtId="0" fontId="0" fillId="0" borderId="3" xfId="0" applyBorder="1"/>
    <xf numFmtId="166" fontId="5" fillId="0" borderId="3" xfId="1" applyNumberFormat="1" applyFont="1" applyFill="1" applyBorder="1"/>
    <xf numFmtId="0" fontId="14" fillId="2" borderId="0" xfId="0" applyFont="1" applyFill="1"/>
    <xf numFmtId="0" fontId="14" fillId="0" borderId="0" xfId="0" applyFont="1"/>
    <xf numFmtId="0" fontId="2" fillId="2" borderId="0" xfId="2" applyNumberFormat="1" applyFont="1" applyFill="1" applyBorder="1" applyAlignment="1">
      <alignment horizontal="center"/>
    </xf>
    <xf numFmtId="43" fontId="0" fillId="4" borderId="4" xfId="1" applyFont="1" applyFill="1" applyBorder="1"/>
    <xf numFmtId="166" fontId="15" fillId="2" borderId="0" xfId="1" applyNumberFormat="1" applyFont="1" applyFill="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0" fillId="2" borderId="0" xfId="0" applyFill="1" applyAlignment="1">
      <alignment horizontal="left" vertical="top" wrapText="1"/>
    </xf>
    <xf numFmtId="0" fontId="15" fillId="2" borderId="21" xfId="0" applyFont="1" applyFill="1" applyBorder="1" applyAlignment="1">
      <alignment horizontal="center"/>
    </xf>
    <xf numFmtId="0" fontId="15" fillId="2" borderId="22" xfId="0" applyFont="1" applyFill="1" applyBorder="1" applyAlignment="1">
      <alignment horizontal="center"/>
    </xf>
    <xf numFmtId="0" fontId="15" fillId="2" borderId="23" xfId="0" applyFont="1" applyFill="1" applyBorder="1" applyAlignment="1">
      <alignment horizontal="center"/>
    </xf>
    <xf numFmtId="0" fontId="2" fillId="2" borderId="21" xfId="2" applyNumberFormat="1" applyFont="1" applyFill="1" applyBorder="1" applyAlignment="1">
      <alignment horizontal="center"/>
    </xf>
    <xf numFmtId="0" fontId="2" fillId="2" borderId="22" xfId="2" applyNumberFormat="1" applyFont="1" applyFill="1" applyBorder="1" applyAlignment="1">
      <alignment horizontal="center"/>
    </xf>
    <xf numFmtId="0" fontId="2" fillId="2" borderId="23" xfId="2" applyNumberFormat="1" applyFont="1" applyFill="1" applyBorder="1" applyAlignment="1">
      <alignment horizontal="center"/>
    </xf>
    <xf numFmtId="0" fontId="2" fillId="2" borderId="21" xfId="0" applyFont="1" applyFill="1" applyBorder="1" applyAlignment="1">
      <alignment horizontal="center" wrapText="1"/>
    </xf>
    <xf numFmtId="0" fontId="2" fillId="2" borderId="22" xfId="0" applyFont="1" applyFill="1" applyBorder="1" applyAlignment="1">
      <alignment horizontal="center" wrapText="1"/>
    </xf>
    <xf numFmtId="0" fontId="2" fillId="2" borderId="23" xfId="0" applyFont="1" applyFill="1" applyBorder="1" applyAlignment="1">
      <alignment horizontal="center" wrapText="1"/>
    </xf>
    <xf numFmtId="0" fontId="3" fillId="2" borderId="21" xfId="0" applyFont="1" applyFill="1" applyBorder="1" applyAlignment="1">
      <alignment horizontal="center" wrapText="1"/>
    </xf>
    <xf numFmtId="0" fontId="3" fillId="2" borderId="22" xfId="0" applyFont="1" applyFill="1" applyBorder="1" applyAlignment="1">
      <alignment horizontal="center" wrapText="1"/>
    </xf>
    <xf numFmtId="0" fontId="3" fillId="2" borderId="23" xfId="0" applyFont="1" applyFill="1" applyBorder="1" applyAlignment="1">
      <alignment horizontal="center" wrapText="1"/>
    </xf>
    <xf numFmtId="0" fontId="2" fillId="2" borderId="21" xfId="1" applyNumberFormat="1" applyFont="1" applyFill="1" applyBorder="1" applyAlignment="1">
      <alignment horizontal="center"/>
    </xf>
    <xf numFmtId="0" fontId="2" fillId="2" borderId="22" xfId="1" applyNumberFormat="1" applyFont="1" applyFill="1" applyBorder="1" applyAlignment="1">
      <alignment horizontal="center"/>
    </xf>
    <xf numFmtId="0" fontId="2" fillId="2" borderId="23" xfId="1" applyNumberFormat="1" applyFont="1" applyFill="1" applyBorder="1" applyAlignment="1">
      <alignment horizontal="center"/>
    </xf>
    <xf numFmtId="0" fontId="3" fillId="2" borderId="21" xfId="1" applyNumberFormat="1" applyFont="1" applyFill="1" applyBorder="1" applyAlignment="1">
      <alignment horizontal="center"/>
    </xf>
    <xf numFmtId="0" fontId="3" fillId="2" borderId="22" xfId="1" applyNumberFormat="1" applyFont="1" applyFill="1" applyBorder="1" applyAlignment="1">
      <alignment horizontal="center"/>
    </xf>
    <xf numFmtId="0" fontId="3" fillId="2" borderId="23" xfId="1" applyNumberFormat="1" applyFont="1" applyFill="1" applyBorder="1" applyAlignment="1">
      <alignment horizontal="center"/>
    </xf>
    <xf numFmtId="0" fontId="3" fillId="4" borderId="21" xfId="0" applyFont="1" applyFill="1" applyBorder="1" applyAlignment="1">
      <alignment horizontal="center" wrapText="1"/>
    </xf>
    <xf numFmtId="0" fontId="3" fillId="4" borderId="22" xfId="0" applyFont="1" applyFill="1" applyBorder="1" applyAlignment="1">
      <alignment horizontal="center" wrapText="1"/>
    </xf>
    <xf numFmtId="0" fontId="3" fillId="4" borderId="23" xfId="0" applyFont="1" applyFill="1" applyBorder="1" applyAlignment="1">
      <alignment horizontal="center" wrapText="1"/>
    </xf>
    <xf numFmtId="0" fontId="21" fillId="4" borderId="21" xfId="0" applyFont="1" applyFill="1" applyBorder="1" applyAlignment="1">
      <alignment horizontal="center"/>
    </xf>
    <xf numFmtId="0" fontId="21" fillId="4" borderId="22" xfId="0" applyFont="1" applyFill="1" applyBorder="1" applyAlignment="1">
      <alignment horizontal="center"/>
    </xf>
    <xf numFmtId="0" fontId="21" fillId="4" borderId="23" xfId="0" applyFont="1" applyFill="1" applyBorder="1" applyAlignment="1">
      <alignment horizontal="center"/>
    </xf>
    <xf numFmtId="0" fontId="15" fillId="4" borderId="21" xfId="0" applyFont="1" applyFill="1" applyBorder="1" applyAlignment="1">
      <alignment horizontal="center"/>
    </xf>
    <xf numFmtId="0" fontId="15" fillId="4" borderId="22" xfId="0" applyFont="1" applyFill="1" applyBorder="1" applyAlignment="1">
      <alignment horizontal="center"/>
    </xf>
    <xf numFmtId="0" fontId="15" fillId="4" borderId="23" xfId="0" applyFont="1" applyFill="1" applyBorder="1" applyAlignment="1">
      <alignment horizontal="center"/>
    </xf>
    <xf numFmtId="0" fontId="0" fillId="2" borderId="0" xfId="0" applyFill="1" applyAlignment="1">
      <alignment horizontal="left" wrapText="1"/>
    </xf>
    <xf numFmtId="0" fontId="15" fillId="2" borderId="21" xfId="0" applyFont="1" applyFill="1" applyBorder="1" applyAlignment="1">
      <alignment horizontal="center" wrapText="1"/>
    </xf>
    <xf numFmtId="0" fontId="15" fillId="2" borderId="22" xfId="0" applyFont="1" applyFill="1" applyBorder="1" applyAlignment="1">
      <alignment horizontal="center" wrapText="1"/>
    </xf>
    <xf numFmtId="0" fontId="15" fillId="2" borderId="23" xfId="0" applyFont="1" applyFill="1" applyBorder="1" applyAlignment="1">
      <alignment horizontal="center" wrapText="1"/>
    </xf>
    <xf numFmtId="0" fontId="2" fillId="4" borderId="21" xfId="0" applyFont="1" applyFill="1" applyBorder="1" applyAlignment="1">
      <alignment horizontal="center" wrapText="1"/>
    </xf>
    <xf numFmtId="0" fontId="2" fillId="4" borderId="22" xfId="0" applyFont="1" applyFill="1" applyBorder="1" applyAlignment="1">
      <alignment horizontal="center" wrapText="1"/>
    </xf>
    <xf numFmtId="0" fontId="2" fillId="4" borderId="23" xfId="0" applyFont="1" applyFill="1" applyBorder="1" applyAlignment="1">
      <alignment horizontal="center" wrapText="1"/>
    </xf>
  </cellXfs>
  <cellStyles count="23">
    <cellStyle name="Comma" xfId="1" builtinId="3"/>
    <cellStyle name="Comma 10 2" xfId="11" xr:uid="{14D0572F-046A-4760-A3AB-B0E2EA5C3B45}"/>
    <cellStyle name="Comma 118" xfId="22" xr:uid="{726DA312-6AE5-429B-8742-1FEBCF2E29BD}"/>
    <cellStyle name="Comma 2" xfId="7" xr:uid="{143436B6-BEF8-4772-8FED-A07989B54B60}"/>
    <cellStyle name="Comma 3" xfId="19" xr:uid="{CF2AB858-13D5-4F5E-8AB3-BEE4CCA71249}"/>
    <cellStyle name="Currency" xfId="2" builtinId="4"/>
    <cellStyle name="Currency 10 2 5" xfId="12" xr:uid="{4167CACF-E94F-422F-AFCB-849B3E3625B3}"/>
    <cellStyle name="Currency 2" xfId="10" xr:uid="{F6FCD51C-EAAE-45E2-AC38-A147E10A0010}"/>
    <cellStyle name="Currency 46" xfId="5" xr:uid="{6AFEBC37-FFEE-4834-BFEF-1BBF1B813118}"/>
    <cellStyle name="Heading 1 2" xfId="16" xr:uid="{EDCCEF50-57C3-4153-9C8D-15CE05D8F1C4}"/>
    <cellStyle name="Heading 2 2" xfId="17" xr:uid="{1985C8A0-9C4B-4104-89AB-2EDBF2A74BE0}"/>
    <cellStyle name="Heading 3 2" xfId="18" xr:uid="{0D73CE3F-AC28-454B-AC2A-B753C1CC8691}"/>
    <cellStyle name="Normal" xfId="0" builtinId="0"/>
    <cellStyle name="Normal 2" xfId="8" xr:uid="{BF0A2012-F745-4399-9313-51EE581D0225}"/>
    <cellStyle name="Normal 2 2" xfId="15" xr:uid="{C6892B67-E648-451D-B7CE-F72478A4D4DC}"/>
    <cellStyle name="Normal 27" xfId="20" xr:uid="{180A62F4-7682-4AE2-A16F-A8FBFA920BCB}"/>
    <cellStyle name="Normal 3" xfId="14" xr:uid="{9652FA4B-5DE0-4F74-80D8-1DF23D3D8709}"/>
    <cellStyle name="Normal 85" xfId="4" xr:uid="{93BC5E13-9CC4-4DC0-A316-C56930408373}"/>
    <cellStyle name="Normal 85 5" xfId="13" xr:uid="{C656C8B5-643F-49DD-9C9E-218DB902A50F}"/>
    <cellStyle name="Percent" xfId="3" builtinId="5"/>
    <cellStyle name="Percent 2" xfId="9" xr:uid="{0FD3AE4C-2317-4B3F-BB39-909BEE0009EE}"/>
    <cellStyle name="Percent 3" xfId="21" xr:uid="{440C9195-C586-4D1E-8A0E-3056D23CED50}"/>
    <cellStyle name="Table (Normal)" xfId="6" xr:uid="{5402460F-7B6C-4D72-B2E9-0EA6ED5FF73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5DD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sheetMetadata" Target="metadata.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45"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microsoft.com/office/2022/10/relationships/richValueRel" Target="richData/richValueRel.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microsoft.com/office/2017/06/relationships/rdRichValueTypes" Target="richData/rdRichValueTypes.xml"/><Relationship Id="rId20" Type="http://schemas.openxmlformats.org/officeDocument/2006/relationships/worksheet" Target="worksheets/sheet20.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7.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jpg"/></Relationships>
</file>

<file path=xl/drawings/_rels/drawing7.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439832</xdr:colOff>
      <xdr:row>1</xdr:row>
      <xdr:rowOff>91638</xdr:rowOff>
    </xdr:from>
    <xdr:to>
      <xdr:col>7</xdr:col>
      <xdr:colOff>335211</xdr:colOff>
      <xdr:row>6</xdr:row>
      <xdr:rowOff>760591</xdr:rowOff>
    </xdr:to>
    <xdr:pic>
      <xdr:nvPicPr>
        <xdr:cNvPr id="3" name="Picture 2">
          <a:extLst>
            <a:ext uri="{FF2B5EF4-FFF2-40B4-BE49-F238E27FC236}">
              <a16:creationId xmlns:a16="http://schemas.microsoft.com/office/drawing/2014/main" id="{72C97B0D-5755-487D-8E1C-019020D2F9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87832" y="282138"/>
          <a:ext cx="4400704" cy="16214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304800</xdr:colOff>
      <xdr:row>1</xdr:row>
      <xdr:rowOff>76201</xdr:rowOff>
    </xdr:from>
    <xdr:ext cx="2222449" cy="406400"/>
    <xdr:pic>
      <xdr:nvPicPr>
        <xdr:cNvPr id="2" name="Picture 1">
          <a:extLst>
            <a:ext uri="{FF2B5EF4-FFF2-40B4-BE49-F238E27FC236}">
              <a16:creationId xmlns:a16="http://schemas.microsoft.com/office/drawing/2014/main" id="{E4BF380F-E491-459E-B10F-9D664C9943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09950" y="266701"/>
          <a:ext cx="2222449" cy="4064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20</xdr:col>
      <xdr:colOff>68651</xdr:colOff>
      <xdr:row>0</xdr:row>
      <xdr:rowOff>180975</xdr:rowOff>
    </xdr:from>
    <xdr:to>
      <xdr:col>24</xdr:col>
      <xdr:colOff>454661</xdr:colOff>
      <xdr:row>8</xdr:row>
      <xdr:rowOff>55245</xdr:rowOff>
    </xdr:to>
    <xdr:pic>
      <xdr:nvPicPr>
        <xdr:cNvPr id="5123" name="Picture 1">
          <a:extLst>
            <a:ext uri="{FF2B5EF4-FFF2-40B4-BE49-F238E27FC236}">
              <a16:creationId xmlns:a16="http://schemas.microsoft.com/office/drawing/2014/main" id="{00000000-0008-0000-06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9076" y="180975"/>
          <a:ext cx="3007924" cy="139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28575</xdr:colOff>
      <xdr:row>0</xdr:row>
      <xdr:rowOff>161925</xdr:rowOff>
    </xdr:from>
    <xdr:ext cx="1798171" cy="390525"/>
    <xdr:pic>
      <xdr:nvPicPr>
        <xdr:cNvPr id="6" name="Picture 5">
          <a:extLst>
            <a:ext uri="{FF2B5EF4-FFF2-40B4-BE49-F238E27FC236}">
              <a16:creationId xmlns:a16="http://schemas.microsoft.com/office/drawing/2014/main" id="{C91668E7-A059-493F-A31D-2F42871198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52225" y="161925"/>
          <a:ext cx="1798171" cy="39052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3</xdr:col>
      <xdr:colOff>42864</xdr:colOff>
      <xdr:row>0</xdr:row>
      <xdr:rowOff>85725</xdr:rowOff>
    </xdr:from>
    <xdr:to>
      <xdr:col>7</xdr:col>
      <xdr:colOff>586740</xdr:colOff>
      <xdr:row>7</xdr:row>
      <xdr:rowOff>152221</xdr:rowOff>
    </xdr:to>
    <xdr:pic>
      <xdr:nvPicPr>
        <xdr:cNvPr id="2051" name="Picture 1">
          <a:extLst>
            <a:ext uri="{FF2B5EF4-FFF2-40B4-BE49-F238E27FC236}">
              <a16:creationId xmlns:a16="http://schemas.microsoft.com/office/drawing/2014/main" id="{00000000-0008-0000-03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6289" y="85725"/>
          <a:ext cx="3652836" cy="13999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419100</xdr:colOff>
      <xdr:row>0</xdr:row>
      <xdr:rowOff>76200</xdr:rowOff>
    </xdr:from>
    <xdr:to>
      <xdr:col>10</xdr:col>
      <xdr:colOff>238125</xdr:colOff>
      <xdr:row>7</xdr:row>
      <xdr:rowOff>47625</xdr:rowOff>
    </xdr:to>
    <xdr:pic>
      <xdr:nvPicPr>
        <xdr:cNvPr id="6147" name="Picture 1">
          <a:extLst>
            <a:ext uri="{FF2B5EF4-FFF2-40B4-BE49-F238E27FC236}">
              <a16:creationId xmlns:a16="http://schemas.microsoft.com/office/drawing/2014/main" id="{00000000-0008-0000-07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67150" y="76200"/>
          <a:ext cx="3657600" cy="1304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104775</xdr:colOff>
      <xdr:row>2</xdr:row>
      <xdr:rowOff>57150</xdr:rowOff>
    </xdr:from>
    <xdr:to>
      <xdr:col>11</xdr:col>
      <xdr:colOff>238125</xdr:colOff>
      <xdr:row>11</xdr:row>
      <xdr:rowOff>171450</xdr:rowOff>
    </xdr:to>
    <xdr:pic>
      <xdr:nvPicPr>
        <xdr:cNvPr id="4099" name="Picture 1">
          <a:extLst>
            <a:ext uri="{FF2B5EF4-FFF2-40B4-BE49-F238E27FC236}">
              <a16:creationId xmlns:a16="http://schemas.microsoft.com/office/drawing/2014/main" id="{00000000-0008-0000-05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8150" y="438150"/>
          <a:ext cx="4791075" cy="1781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66675</xdr:colOff>
      <xdr:row>0</xdr:row>
      <xdr:rowOff>123825</xdr:rowOff>
    </xdr:from>
    <xdr:to>
      <xdr:col>10</xdr:col>
      <xdr:colOff>85725</xdr:colOff>
      <xdr:row>9</xdr:row>
      <xdr:rowOff>161925</xdr:rowOff>
    </xdr:to>
    <xdr:pic>
      <xdr:nvPicPr>
        <xdr:cNvPr id="7171" name="Picture 1">
          <a:extLst>
            <a:ext uri="{FF2B5EF4-FFF2-40B4-BE49-F238E27FC236}">
              <a16:creationId xmlns:a16="http://schemas.microsoft.com/office/drawing/2014/main" id="{00000000-0008-0000-08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123825"/>
          <a:ext cx="3019425" cy="1752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9525</xdr:colOff>
      <xdr:row>0</xdr:row>
      <xdr:rowOff>171450</xdr:rowOff>
    </xdr:from>
    <xdr:to>
      <xdr:col>18</xdr:col>
      <xdr:colOff>581025</xdr:colOff>
      <xdr:row>8</xdr:row>
      <xdr:rowOff>152400</xdr:rowOff>
    </xdr:to>
    <xdr:pic>
      <xdr:nvPicPr>
        <xdr:cNvPr id="10243" name="Picture 2">
          <a:extLst>
            <a:ext uri="{FF2B5EF4-FFF2-40B4-BE49-F238E27FC236}">
              <a16:creationId xmlns:a16="http://schemas.microsoft.com/office/drawing/2014/main" id="{00000000-0008-0000-1800-00000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6650" y="171450"/>
          <a:ext cx="4362450" cy="1533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47625</xdr:colOff>
      <xdr:row>0</xdr:row>
      <xdr:rowOff>57150</xdr:rowOff>
    </xdr:from>
    <xdr:to>
      <xdr:col>14</xdr:col>
      <xdr:colOff>571500</xdr:colOff>
      <xdr:row>9</xdr:row>
      <xdr:rowOff>171450</xdr:rowOff>
    </xdr:to>
    <xdr:pic>
      <xdr:nvPicPr>
        <xdr:cNvPr id="16387" name="Picture 1">
          <a:extLst>
            <a:ext uri="{FF2B5EF4-FFF2-40B4-BE49-F238E27FC236}">
              <a16:creationId xmlns:a16="http://schemas.microsoft.com/office/drawing/2014/main" id="{00000000-0008-0000-1700-000003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57150"/>
          <a:ext cx="4324350" cy="1828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695325</xdr:colOff>
      <xdr:row>0</xdr:row>
      <xdr:rowOff>133350</xdr:rowOff>
    </xdr:from>
    <xdr:to>
      <xdr:col>14</xdr:col>
      <xdr:colOff>104775</xdr:colOff>
      <xdr:row>11</xdr:row>
      <xdr:rowOff>0</xdr:rowOff>
    </xdr:to>
    <xdr:pic>
      <xdr:nvPicPr>
        <xdr:cNvPr id="13315" name="Picture 1">
          <a:extLst>
            <a:ext uri="{FF2B5EF4-FFF2-40B4-BE49-F238E27FC236}">
              <a16:creationId xmlns:a16="http://schemas.microsoft.com/office/drawing/2014/main" id="{00000000-0008-0000-1900-000003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1825" y="133350"/>
          <a:ext cx="3657600" cy="1924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463924</xdr:colOff>
      <xdr:row>0</xdr:row>
      <xdr:rowOff>0</xdr:rowOff>
    </xdr:from>
    <xdr:to>
      <xdr:col>9</xdr:col>
      <xdr:colOff>1046</xdr:colOff>
      <xdr:row>12</xdr:row>
      <xdr:rowOff>111125</xdr:rowOff>
    </xdr:to>
    <xdr:pic>
      <xdr:nvPicPr>
        <xdr:cNvPr id="3075" name="Picture 1">
          <a:extLst>
            <a:ext uri="{FF2B5EF4-FFF2-40B4-BE49-F238E27FC236}">
              <a16:creationId xmlns:a16="http://schemas.microsoft.com/office/drawing/2014/main" id="{00000000-0008-0000-04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0524" y="0"/>
          <a:ext cx="3162972" cy="1438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695325</xdr:colOff>
      <xdr:row>0</xdr:row>
      <xdr:rowOff>133350</xdr:rowOff>
    </xdr:from>
    <xdr:to>
      <xdr:col>12</xdr:col>
      <xdr:colOff>276225</xdr:colOff>
      <xdr:row>8</xdr:row>
      <xdr:rowOff>152400</xdr:rowOff>
    </xdr:to>
    <xdr:pic>
      <xdr:nvPicPr>
        <xdr:cNvPr id="12291" name="Picture 3">
          <a:extLst>
            <a:ext uri="{FF2B5EF4-FFF2-40B4-BE49-F238E27FC236}">
              <a16:creationId xmlns:a16="http://schemas.microsoft.com/office/drawing/2014/main" id="{00000000-0008-0000-1A00-000003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2100" y="133350"/>
          <a:ext cx="4476750" cy="154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257175</xdr:colOff>
      <xdr:row>0</xdr:row>
      <xdr:rowOff>57150</xdr:rowOff>
    </xdr:from>
    <xdr:to>
      <xdr:col>12</xdr:col>
      <xdr:colOff>133350</xdr:colOff>
      <xdr:row>7</xdr:row>
      <xdr:rowOff>142875</xdr:rowOff>
    </xdr:to>
    <xdr:pic>
      <xdr:nvPicPr>
        <xdr:cNvPr id="11267" name="Picture 1">
          <a:extLst>
            <a:ext uri="{FF2B5EF4-FFF2-40B4-BE49-F238E27FC236}">
              <a16:creationId xmlns:a16="http://schemas.microsoft.com/office/drawing/2014/main" id="{00000000-0008-0000-1B00-00000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7100" y="57150"/>
          <a:ext cx="4629150" cy="1419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247650</xdr:colOff>
      <xdr:row>1</xdr:row>
      <xdr:rowOff>47625</xdr:rowOff>
    </xdr:from>
    <xdr:to>
      <xdr:col>15</xdr:col>
      <xdr:colOff>495300</xdr:colOff>
      <xdr:row>13</xdr:row>
      <xdr:rowOff>66675</xdr:rowOff>
    </xdr:to>
    <xdr:pic>
      <xdr:nvPicPr>
        <xdr:cNvPr id="14339" name="Picture 2">
          <a:extLst>
            <a:ext uri="{FF2B5EF4-FFF2-40B4-BE49-F238E27FC236}">
              <a16:creationId xmlns:a16="http://schemas.microsoft.com/office/drawing/2014/main" id="{00000000-0008-0000-1C00-000003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9125" y="238125"/>
          <a:ext cx="4629150" cy="2305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190500</xdr:colOff>
      <xdr:row>0</xdr:row>
      <xdr:rowOff>161925</xdr:rowOff>
    </xdr:from>
    <xdr:to>
      <xdr:col>5</xdr:col>
      <xdr:colOff>419100</xdr:colOff>
      <xdr:row>8</xdr:row>
      <xdr:rowOff>66675</xdr:rowOff>
    </xdr:to>
    <xdr:pic>
      <xdr:nvPicPr>
        <xdr:cNvPr id="15363" name="Picture 1">
          <a:extLst>
            <a:ext uri="{FF2B5EF4-FFF2-40B4-BE49-F238E27FC236}">
              <a16:creationId xmlns:a16="http://schemas.microsoft.com/office/drawing/2014/main" id="{00000000-0008-0000-1D00-000003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0425" y="161925"/>
          <a:ext cx="2219325" cy="142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0</xdr:colOff>
      <xdr:row>1</xdr:row>
      <xdr:rowOff>104775</xdr:rowOff>
    </xdr:from>
    <xdr:to>
      <xdr:col>17</xdr:col>
      <xdr:colOff>28575</xdr:colOff>
      <xdr:row>13</xdr:row>
      <xdr:rowOff>123825</xdr:rowOff>
    </xdr:to>
    <xdr:pic>
      <xdr:nvPicPr>
        <xdr:cNvPr id="17411" name="Picture 1">
          <a:extLst>
            <a:ext uri="{FF2B5EF4-FFF2-40B4-BE49-F238E27FC236}">
              <a16:creationId xmlns:a16="http://schemas.microsoft.com/office/drawing/2014/main" id="{00000000-0008-0000-1E00-000003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38700" y="295275"/>
          <a:ext cx="4629150" cy="2305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476250</xdr:colOff>
      <xdr:row>0</xdr:row>
      <xdr:rowOff>133350</xdr:rowOff>
    </xdr:from>
    <xdr:to>
      <xdr:col>15</xdr:col>
      <xdr:colOff>123825</xdr:colOff>
      <xdr:row>9</xdr:row>
      <xdr:rowOff>95250</xdr:rowOff>
    </xdr:to>
    <xdr:pic>
      <xdr:nvPicPr>
        <xdr:cNvPr id="18435" name="Picture 1">
          <a:extLst>
            <a:ext uri="{FF2B5EF4-FFF2-40B4-BE49-F238E27FC236}">
              <a16:creationId xmlns:a16="http://schemas.microsoft.com/office/drawing/2014/main" id="{00000000-0008-0000-1F00-000003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52850" y="133350"/>
          <a:ext cx="4629150" cy="1676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474345</xdr:colOff>
      <xdr:row>2</xdr:row>
      <xdr:rowOff>83820</xdr:rowOff>
    </xdr:from>
    <xdr:to>
      <xdr:col>8</xdr:col>
      <xdr:colOff>209550</xdr:colOff>
      <xdr:row>8</xdr:row>
      <xdr:rowOff>167577</xdr:rowOff>
    </xdr:to>
    <xdr:pic>
      <xdr:nvPicPr>
        <xdr:cNvPr id="3" name="Picture 2">
          <a:extLst>
            <a:ext uri="{FF2B5EF4-FFF2-40B4-BE49-F238E27FC236}">
              <a16:creationId xmlns:a16="http://schemas.microsoft.com/office/drawing/2014/main" id="{991395A1-767F-48FF-A289-CB2BD44B9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2405" y="449580"/>
          <a:ext cx="2815590" cy="12172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179070</xdr:colOff>
      <xdr:row>1</xdr:row>
      <xdr:rowOff>66675</xdr:rowOff>
    </xdr:from>
    <xdr:ext cx="2076083" cy="568325"/>
    <xdr:pic>
      <xdr:nvPicPr>
        <xdr:cNvPr id="3" name="Picture 2">
          <a:extLst>
            <a:ext uri="{FF2B5EF4-FFF2-40B4-BE49-F238E27FC236}">
              <a16:creationId xmlns:a16="http://schemas.microsoft.com/office/drawing/2014/main" id="{B53C628B-9974-4143-A7D8-C3DA591DD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8070" y="257175"/>
          <a:ext cx="2076083" cy="568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6</xdr:col>
      <xdr:colOff>295275</xdr:colOff>
      <xdr:row>2</xdr:row>
      <xdr:rowOff>19050</xdr:rowOff>
    </xdr:from>
    <xdr:ext cx="3318365" cy="574675"/>
    <xdr:pic>
      <xdr:nvPicPr>
        <xdr:cNvPr id="3" name="Picture 2">
          <a:extLst>
            <a:ext uri="{FF2B5EF4-FFF2-40B4-BE49-F238E27FC236}">
              <a16:creationId xmlns:a16="http://schemas.microsoft.com/office/drawing/2014/main" id="{3B9F4725-604A-4C17-AA4A-1753E4768B68}"/>
            </a:ext>
          </a:extLst>
        </xdr:cNvPr>
        <xdr:cNvPicPr>
          <a:picLocks noChangeAspect="1"/>
        </xdr:cNvPicPr>
      </xdr:nvPicPr>
      <xdr:blipFill>
        <a:blip xmlns:r="http://schemas.openxmlformats.org/officeDocument/2006/relationships" r:embed="rId1"/>
        <a:stretch>
          <a:fillRect/>
        </a:stretch>
      </xdr:blipFill>
      <xdr:spPr>
        <a:xfrm>
          <a:off x="3905250" y="428625"/>
          <a:ext cx="3318365" cy="5746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6</xdr:col>
      <xdr:colOff>219075</xdr:colOff>
      <xdr:row>1</xdr:row>
      <xdr:rowOff>19050</xdr:rowOff>
    </xdr:from>
    <xdr:ext cx="3034059" cy="1085850"/>
    <xdr:pic>
      <xdr:nvPicPr>
        <xdr:cNvPr id="3" name="Picture 2" descr="A picture containing text, clipart&#10;&#10;Description automatically generated">
          <a:extLst>
            <a:ext uri="{FF2B5EF4-FFF2-40B4-BE49-F238E27FC236}">
              <a16:creationId xmlns:a16="http://schemas.microsoft.com/office/drawing/2014/main" id="{FAB21629-EAD3-4DBB-93EB-B6E755340D7F}"/>
            </a:ext>
          </a:extLst>
        </xdr:cNvPr>
        <xdr:cNvPicPr>
          <a:picLocks noChangeAspect="1"/>
        </xdr:cNvPicPr>
      </xdr:nvPicPr>
      <xdr:blipFill>
        <a:blip xmlns:r="http://schemas.openxmlformats.org/officeDocument/2006/relationships" r:embed="rId1"/>
        <a:stretch>
          <a:fillRect/>
        </a:stretch>
      </xdr:blipFill>
      <xdr:spPr>
        <a:xfrm>
          <a:off x="3343275" y="238125"/>
          <a:ext cx="3034059" cy="10858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6</xdr:col>
      <xdr:colOff>47625</xdr:colOff>
      <xdr:row>0</xdr:row>
      <xdr:rowOff>104775</xdr:rowOff>
    </xdr:from>
    <xdr:ext cx="1504948" cy="600075"/>
    <xdr:pic>
      <xdr:nvPicPr>
        <xdr:cNvPr id="2" name="Picture 1" descr="Boa Redefines Future Of Fit - Unveils Performance Fit Lab, University Of  Denver Study - SNEWS">
          <a:extLst>
            <a:ext uri="{FF2B5EF4-FFF2-40B4-BE49-F238E27FC236}">
              <a16:creationId xmlns:a16="http://schemas.microsoft.com/office/drawing/2014/main" id="{5E8AED05-D00A-4431-A5D1-8E760F06F02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3781425" y="104775"/>
          <a:ext cx="1504948"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533400</xdr:colOff>
      <xdr:row>0</xdr:row>
      <xdr:rowOff>114300</xdr:rowOff>
    </xdr:from>
    <xdr:to>
      <xdr:col>12</xdr:col>
      <xdr:colOff>245745</xdr:colOff>
      <xdr:row>8</xdr:row>
      <xdr:rowOff>24905</xdr:rowOff>
    </xdr:to>
    <xdr:pic>
      <xdr:nvPicPr>
        <xdr:cNvPr id="3" name="Picture 2">
          <a:extLst>
            <a:ext uri="{FF2B5EF4-FFF2-40B4-BE49-F238E27FC236}">
              <a16:creationId xmlns:a16="http://schemas.microsoft.com/office/drawing/2014/main" id="{B7A6311A-1A97-907F-6600-CDCA50B629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67200" y="114300"/>
          <a:ext cx="3931920" cy="1444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3</xdr:col>
      <xdr:colOff>348615</xdr:colOff>
      <xdr:row>1</xdr:row>
      <xdr:rowOff>20955</xdr:rowOff>
    </xdr:from>
    <xdr:ext cx="1135380" cy="1041748"/>
    <xdr:pic>
      <xdr:nvPicPr>
        <xdr:cNvPr id="2" name="Picture 1">
          <a:extLst>
            <a:ext uri="{FF2B5EF4-FFF2-40B4-BE49-F238E27FC236}">
              <a16:creationId xmlns:a16="http://schemas.microsoft.com/office/drawing/2014/main" id="{685C7E7C-1027-4DAB-8C95-57D9C1671B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225165" y="211455"/>
          <a:ext cx="1135380" cy="104174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3</xdr:col>
      <xdr:colOff>268605</xdr:colOff>
      <xdr:row>0</xdr:row>
      <xdr:rowOff>180975</xdr:rowOff>
    </xdr:from>
    <xdr:to>
      <xdr:col>8</xdr:col>
      <xdr:colOff>435416</xdr:colOff>
      <xdr:row>3</xdr:row>
      <xdr:rowOff>66675</xdr:rowOff>
    </xdr:to>
    <xdr:pic>
      <xdr:nvPicPr>
        <xdr:cNvPr id="7" name="Picture 6">
          <a:extLst>
            <a:ext uri="{FF2B5EF4-FFF2-40B4-BE49-F238E27FC236}">
              <a16:creationId xmlns:a16="http://schemas.microsoft.com/office/drawing/2014/main" id="{A41DAC5F-C1F5-F1CE-023A-34F778DCFEC3}"/>
            </a:ext>
          </a:extLst>
        </xdr:cNvPr>
        <xdr:cNvPicPr>
          <a:picLocks noChangeAspect="1"/>
        </xdr:cNvPicPr>
      </xdr:nvPicPr>
      <xdr:blipFill>
        <a:blip xmlns:r="http://schemas.openxmlformats.org/officeDocument/2006/relationships" r:embed="rId1" cstate="print">
          <a:biLevel thresh="75000"/>
          <a:extLst>
            <a:ext uri="{28A0092B-C50C-407E-A947-70E740481C1C}">
              <a14:useLocalDpi xmlns:a14="http://schemas.microsoft.com/office/drawing/2010/main" val="0"/>
            </a:ext>
          </a:extLst>
        </a:blip>
        <a:stretch>
          <a:fillRect/>
        </a:stretch>
      </xdr:blipFill>
      <xdr:spPr>
        <a:xfrm>
          <a:off x="3145155" y="180975"/>
          <a:ext cx="1700336"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mpassequity-my.sharepoint.com/personal/drodgers_compassdiversified_com/Documents/Documents/Financial%20History/Q1%202026/MASTER%2010Q%203.31.2026%20-%20Copy.xlsx" TargetMode="External"/><Relationship Id="rId1" Type="http://schemas.openxmlformats.org/officeDocument/2006/relationships/externalLinkPath" Target="https://compassequity.sharepoint.com/sites/CODI_Server-CODI/Shared%20Documents/CODI/Home/ktiernan/2026/Q1/Earnings%20Release/Q1%202026/MASTER%2010Q%203.31.2026%20-%20Copy.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ompassequity.sharepoint.com/sites/CODI_Server-CODI/Shared%20Documents/CODI/Accounting/Financial%20Reporting/Form%2010-Q%20and%2010-K%20Tie%20Out/2025/Q1%202025%2010Q%20-%20Restatement/From%20Sarah/MASTER%2010Q%203.31.2025%20-%20Copy.xlsx" TargetMode="External"/><Relationship Id="rId1" Type="http://schemas.openxmlformats.org/officeDocument/2006/relationships/externalLinkPath" Target="https://compassequity.sharepoint.com/sites/CODI_Server-CODI/Shared%20Documents/CODI/Accounting/Financial%20Reporting/Form%2010-Q%20and%2010-K%20Tie%20Out/2025/Q1%202025%2010Q%20-%20Restatement/From%20Sarah/MASTER%2010Q%203.31.2025%20-%20Copy.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compassequity.sharepoint.com/sites/CODI_Server-CODI/Shared%20Documents/CODI/Accounting/Financial%20Reporting/Form%2010-Q%20and%2010-K%20Tie%20Out/2025/Q2%202025%2010Q%20-%20Restatement/From%20Sarah/MASTER%2010Q%206.30.2025%20v3.xlsx" TargetMode="External"/><Relationship Id="rId1" Type="http://schemas.openxmlformats.org/officeDocument/2006/relationships/externalLinkPath" Target="https://compassequity.sharepoint.com/sites/CODI_Server-CODI/Shared%20Documents/CODI/Accounting/Financial%20Reporting/Form%2010-Q%20and%2010-K%20Tie%20Out/2025/Q2%202025%2010Q%20-%20Restatement/From%20Sarah/MASTER%2010Q%206.30.2025%20v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compassequity.sharepoint.com/sites/CODI_Server-CODI/Shared%20Documents/CODI/Accounting/Financial%20Reporting/Form%2010-Q%20and%2010-K%20Tie%20Out/2025/Q3%202025/From%20Sarah/MASTER%2010Q%209.30.2025%20-%20Copy.xlsx" TargetMode="External"/><Relationship Id="rId1" Type="http://schemas.openxmlformats.org/officeDocument/2006/relationships/externalLinkPath" Target="https://compassequity.sharepoint.com/sites/CODI_Server-CODI/Shared%20Documents/CODI/Accounting/Financial%20Reporting/Form%2010-Q%20and%2010-K%20Tie%20Out/2025/Q3%202025/From%20Sarah/MASTER%2010Q%209.30.2025%20-%20Copy.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compassequity-my.sharepoint.com/personal/drodgers_compassdiversified_com/Documents/Documents/Financial%20History/Master%2010K%2012.31.2025%20v2%20-%20Copy.xlsx" TargetMode="External"/><Relationship Id="rId1" Type="http://schemas.openxmlformats.org/officeDocument/2006/relationships/externalLinkPath" Target="https://compassequity.sharepoint.com/sites/CODI_Server-CODI/Shared%20Documents/CODI/Home/ktiernan/2026/Q1/Earnings%20Release/Master%2010K%2012.31.2025%20v2%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C"/>
      <sheetName val="CHECK"/>
      <sheetName val="BS"/>
      <sheetName val="P&amp;L"/>
      <sheetName val="Comp Inc."/>
      <sheetName val="SE QTD 2025"/>
      <sheetName val="SE YTD 2025 "/>
      <sheetName val="SE QTD 2026"/>
      <sheetName val="BS - DATA"/>
      <sheetName val="SE YTD 2026"/>
      <sheetName val="CF"/>
      <sheetName val="P&amp;L YTD - DATA"/>
      <sheetName val="P&amp;L QTD - DATA"/>
      <sheetName val="CF - data"/>
      <sheetName val="Min Int Roll"/>
      <sheetName val="Segment"/>
      <sheetName val="Segment (2)"/>
      <sheetName val="Segment (3)"/>
      <sheetName val="Suppl. Data - Rel. Party"/>
      <sheetName val="INV"/>
      <sheetName val="PPE"/>
      <sheetName val="Identifiable"/>
      <sheetName val="Goodwill"/>
      <sheetName val="Intangibles"/>
      <sheetName val="Equity"/>
      <sheetName val="FVM"/>
      <sheetName val="Debt"/>
      <sheetName val="Taxes"/>
      <sheetName val="NCI"/>
      <sheetName val="Contribution based profit"/>
      <sheetName val="Pension"/>
      <sheetName val="CAD"/>
      <sheetName val="Adj EBITDA"/>
      <sheetName val="Interest"/>
      <sheetName val="Arnold"/>
      <sheetName val="Arnold PPE"/>
      <sheetName val="Arnold Inv"/>
      <sheetName val="Arnold Intangibles"/>
      <sheetName val="Arnold Intl Sales"/>
      <sheetName val="ERGO Intl Rev"/>
      <sheetName val="Sterno"/>
      <sheetName val="Sterno PPE"/>
      <sheetName val="Sterno Inventory"/>
      <sheetName val="Sterno Intangibles"/>
      <sheetName val="Sterno Intl Sales"/>
      <sheetName val="5.11"/>
      <sheetName val="5.11 PPE"/>
      <sheetName val="5.11 INV"/>
      <sheetName val="5.11 INTAN."/>
      <sheetName val="5.11 Intl. Rev"/>
      <sheetName val="VELOCITY"/>
      <sheetName val="Velocity PPE"/>
      <sheetName val="Velocity INV"/>
      <sheetName val="Velocity INTAN"/>
      <sheetName val="Xman Intl. Rev"/>
      <sheetName val="Xman warranty"/>
      <sheetName val="Velocity WARRANTY"/>
      <sheetName val="ALTOR"/>
      <sheetName val="Altor PPE"/>
      <sheetName val="Altor INV"/>
      <sheetName val="Altor INTAN"/>
      <sheetName val="BOA"/>
      <sheetName val="Boa PPE"/>
      <sheetName val="Boa INV"/>
      <sheetName val="Boa INTAN"/>
      <sheetName val="Boa WARR"/>
      <sheetName val="Lugano"/>
      <sheetName val="Lugano PPE"/>
      <sheetName val="Lugano Inventory"/>
      <sheetName val="Lugano Intang."/>
      <sheetName val="PrimaLoft"/>
      <sheetName val="PrimaLoft PPE"/>
      <sheetName val="PrimaLoft Inventory"/>
      <sheetName val="PrimaLoft Intang."/>
      <sheetName val="THP"/>
      <sheetName val="THP PPE"/>
      <sheetName val="THP Inventory"/>
      <sheetName val="THP Intang."/>
    </sheetNames>
    <sheetDataSet>
      <sheetData sheetId="0"/>
      <sheetData sheetId="1"/>
      <sheetData sheetId="2"/>
      <sheetData sheetId="3"/>
      <sheetData sheetId="4"/>
      <sheetData sheetId="5"/>
      <sheetData sheetId="6"/>
      <sheetData sheetId="7"/>
      <sheetData sheetId="8">
        <row r="45">
          <cell r="N45">
            <v>-174223700</v>
          </cell>
        </row>
        <row r="51">
          <cell r="N51">
            <v>-5986125.6000000015</v>
          </cell>
        </row>
        <row r="67">
          <cell r="N67">
            <v>-612850474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C"/>
      <sheetName val="CHECK"/>
      <sheetName val="BS"/>
      <sheetName val="P&amp;L"/>
      <sheetName val="Comp Inc."/>
      <sheetName val="SE QTD 2024"/>
      <sheetName val="SE YTD 2024 "/>
      <sheetName val="SE QTD 2025"/>
      <sheetName val="SE YTD 2025"/>
      <sheetName val="CF"/>
      <sheetName val="BS - DATA"/>
      <sheetName val="P&amp;L YTD - DATA"/>
      <sheetName val="P&amp;L QTD - DATA"/>
      <sheetName val="CF - data"/>
      <sheetName val="Min Int Roll"/>
      <sheetName val="Segment"/>
      <sheetName val="Segment (2)"/>
      <sheetName val="Segment (3)"/>
      <sheetName val="Suppl. Data - Rel. Party"/>
      <sheetName val="INV"/>
      <sheetName val="PPE"/>
      <sheetName val="Identifiable"/>
      <sheetName val="Goodwill"/>
      <sheetName val="Intangibles"/>
      <sheetName val="Equity"/>
      <sheetName val="FVM"/>
      <sheetName val="Debt"/>
      <sheetName val="Taxes"/>
      <sheetName val="NCI"/>
      <sheetName val="Contribution based profit"/>
      <sheetName val="Pension"/>
      <sheetName val="CAD"/>
      <sheetName val="Adj EBITDA"/>
      <sheetName val="Interest"/>
      <sheetName val="Arnold"/>
      <sheetName val="Arnold PPE"/>
      <sheetName val="Arnold Inv"/>
      <sheetName val="Arnold Intangibles"/>
      <sheetName val="Arnold Intl Sales"/>
      <sheetName val="ERGO Intl Rev"/>
      <sheetName val="Sterno"/>
      <sheetName val="Sterno PPE"/>
      <sheetName val="Sterno Inventory"/>
      <sheetName val="Sterno Intangibles"/>
      <sheetName val="Sterno Intl Sales"/>
      <sheetName val="5.11"/>
      <sheetName val="5.11 PPE"/>
      <sheetName val="5.11 INV"/>
      <sheetName val="5.11 INTAN."/>
      <sheetName val="5.11 Intl. Rev"/>
      <sheetName val="VELOCITY"/>
      <sheetName val="Velocity PPE"/>
      <sheetName val="Velocity INV"/>
      <sheetName val="Velocity INTAN"/>
      <sheetName val="Xman Intl. Rev"/>
      <sheetName val="Xman warranty"/>
      <sheetName val="Velocity WARRANTY"/>
      <sheetName val="ALTOR"/>
      <sheetName val="Altor PPE"/>
      <sheetName val="Altor INV"/>
      <sheetName val="Altor INTAN"/>
      <sheetName val="BOA"/>
      <sheetName val="Boa PPE"/>
      <sheetName val="Boa INV"/>
      <sheetName val="Boa INTAN"/>
      <sheetName val="Boa WARR"/>
      <sheetName val="Lugano"/>
      <sheetName val="Lugano PPE"/>
      <sheetName val="Lugano Inventory"/>
      <sheetName val="Lugano Intang."/>
      <sheetName val="PrimaLoft"/>
      <sheetName val="PrimaLoft PPE"/>
      <sheetName val="PrimaLoft Inventory"/>
      <sheetName val="PrimaLoft Intang."/>
      <sheetName val="THP"/>
      <sheetName val="THP PPE"/>
      <sheetName val="THP Inventory"/>
      <sheetName val="THP Intang."/>
    </sheetNames>
    <sheetDataSet>
      <sheetData sheetId="0"/>
      <sheetData sheetId="1"/>
      <sheetData sheetId="2"/>
      <sheetData sheetId="3"/>
      <sheetData sheetId="4"/>
      <sheetData sheetId="5"/>
      <sheetData sheetId="6"/>
      <sheetData sheetId="7"/>
      <sheetData sheetId="8"/>
      <sheetData sheetId="9"/>
      <sheetData sheetId="10">
        <row r="44">
          <cell r="N44">
            <v>-126075385</v>
          </cell>
        </row>
        <row r="49">
          <cell r="N49">
            <v>-11915862.600000001</v>
          </cell>
        </row>
        <row r="65">
          <cell r="N65">
            <v>-1484291294</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C"/>
      <sheetName val="CHECK"/>
      <sheetName val="BS"/>
      <sheetName val="P&amp;L"/>
      <sheetName val="Comp Inc."/>
      <sheetName val="SE QTD 2024"/>
      <sheetName val="SE YTD 2024 "/>
      <sheetName val="SE QTD 2025"/>
      <sheetName val="SE YTD 2025"/>
      <sheetName val="CF"/>
      <sheetName val="BS - DATA"/>
      <sheetName val="P&amp;L YTD - DATA"/>
      <sheetName val="P&amp;L QTD - DATA"/>
      <sheetName val="CF - data"/>
      <sheetName val="Min Int Roll"/>
      <sheetName val="Segment"/>
      <sheetName val="Segment (2)"/>
      <sheetName val="Segment (3)"/>
      <sheetName val="Suppl. Data - Rel. Party"/>
      <sheetName val="INV"/>
      <sheetName val="PPE"/>
      <sheetName val="Identifiable"/>
      <sheetName val="Goodwill"/>
      <sheetName val="Intangibles"/>
      <sheetName val="Equity"/>
      <sheetName val="FVM"/>
      <sheetName val="Debt"/>
      <sheetName val="Taxes"/>
      <sheetName val="NCI"/>
      <sheetName val="Contribution based profit"/>
      <sheetName val="Pension"/>
      <sheetName val="CAD"/>
      <sheetName val="Adj EBITDA"/>
      <sheetName val="Interest"/>
      <sheetName val="Arnold"/>
      <sheetName val="Arnold PPE"/>
      <sheetName val="Arnold Inv"/>
      <sheetName val="Arnold Intangibles"/>
      <sheetName val="Arnold Intl Sales"/>
      <sheetName val="ERGO Intl Rev"/>
      <sheetName val="Sterno"/>
      <sheetName val="Sterno PPE"/>
      <sheetName val="Sterno Inventory"/>
      <sheetName val="Sterno Intangibles"/>
      <sheetName val="Sterno Intl Sales"/>
      <sheetName val="5.11"/>
      <sheetName val="5.11 PPE"/>
      <sheetName val="5.11 INV"/>
      <sheetName val="5.11 INTAN."/>
      <sheetName val="5.11 Intl. Rev"/>
      <sheetName val="VELOCITY"/>
      <sheetName val="Velocity PPE"/>
      <sheetName val="Velocity INV"/>
      <sheetName val="Velocity INTAN"/>
      <sheetName val="Xman Intl. Rev"/>
      <sheetName val="Xman warranty"/>
      <sheetName val="Velocity WARRANTY"/>
      <sheetName val="ALTOR"/>
      <sheetName val="Altor PPE"/>
      <sheetName val="Altor INV"/>
      <sheetName val="Altor INTAN"/>
      <sheetName val="BOA"/>
      <sheetName val="Boa PPE"/>
      <sheetName val="Boa INV"/>
      <sheetName val="Boa INTAN"/>
      <sheetName val="Boa WARR"/>
      <sheetName val="Lugano"/>
      <sheetName val="Lugano PPE"/>
      <sheetName val="Lugano Inventory"/>
      <sheetName val="Lugano Intang."/>
      <sheetName val="PrimaLoft"/>
      <sheetName val="PrimaLoft PPE"/>
      <sheetName val="PrimaLoft Inventory"/>
      <sheetName val="PrimaLoft Intang."/>
      <sheetName val="THP"/>
      <sheetName val="THP PPE"/>
      <sheetName val="THP Inventory"/>
      <sheetName val="THP Intang."/>
    </sheetNames>
    <sheetDataSet>
      <sheetData sheetId="0"/>
      <sheetData sheetId="1"/>
      <sheetData sheetId="2"/>
      <sheetData sheetId="3"/>
      <sheetData sheetId="4"/>
      <sheetData sheetId="5"/>
      <sheetData sheetId="6"/>
      <sheetData sheetId="7"/>
      <sheetData sheetId="8"/>
      <sheetData sheetId="9"/>
      <sheetData sheetId="10">
        <row r="44">
          <cell r="N44">
            <v>-146275384</v>
          </cell>
        </row>
        <row r="50">
          <cell r="N50">
            <v>-21803706.600000001</v>
          </cell>
        </row>
        <row r="66">
          <cell r="N66">
            <v>-1489363100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C"/>
      <sheetName val="CHECK"/>
      <sheetName val="BS"/>
      <sheetName val="P&amp;L"/>
      <sheetName val="Comp Inc."/>
      <sheetName val="SE QTD 2024"/>
      <sheetName val="SE YTD 2024 "/>
      <sheetName val="SE QTD 2025"/>
      <sheetName val="SE YTD 2025"/>
      <sheetName val="CF"/>
      <sheetName val="BS - DATA"/>
      <sheetName val="P&amp;L YTD - DATA"/>
      <sheetName val="P&amp;L QTD - DATA"/>
      <sheetName val="CF - data"/>
      <sheetName val="Min Int Roll"/>
      <sheetName val="Segment"/>
      <sheetName val="Segment (2)"/>
      <sheetName val="Segment (3)"/>
      <sheetName val="Suppl. Data - Rel. Party"/>
      <sheetName val="INV"/>
      <sheetName val="PPE"/>
      <sheetName val="Identifiable"/>
      <sheetName val="Goodwill"/>
      <sheetName val="Intangibles"/>
      <sheetName val="Equity"/>
      <sheetName val="FVM"/>
      <sheetName val="Debt"/>
      <sheetName val="Taxes"/>
      <sheetName val="NCI"/>
      <sheetName val="Contribution based profit"/>
      <sheetName val="Pension"/>
      <sheetName val="CAD"/>
      <sheetName val="Adj EBITDA"/>
      <sheetName val="Interest"/>
      <sheetName val="Arnold"/>
      <sheetName val="Arnold PPE"/>
      <sheetName val="Arnold Inv"/>
      <sheetName val="Arnold Intangibles"/>
      <sheetName val="Arnold Intl Sales"/>
      <sheetName val="ERGO Intl Rev"/>
      <sheetName val="Sterno"/>
      <sheetName val="Sterno PPE"/>
      <sheetName val="Sterno Inventory"/>
      <sheetName val="Sterno Intangibles"/>
      <sheetName val="Sterno Intl Sales"/>
      <sheetName val="5.11"/>
      <sheetName val="5.11 PPE"/>
      <sheetName val="5.11 INV"/>
      <sheetName val="5.11 INTAN."/>
      <sheetName val="5.11 Intl. Rev"/>
      <sheetName val="VELOCITY"/>
      <sheetName val="Velocity PPE"/>
      <sheetName val="Velocity INV"/>
      <sheetName val="Velocity INTAN"/>
      <sheetName val="Xman Intl. Rev"/>
      <sheetName val="Xman warranty"/>
      <sheetName val="Velocity WARRANTY"/>
      <sheetName val="ALTOR"/>
      <sheetName val="Altor PPE"/>
      <sheetName val="Altor INV"/>
      <sheetName val="Altor INTAN"/>
      <sheetName val="BOA"/>
      <sheetName val="Boa PPE"/>
      <sheetName val="Boa INV"/>
      <sheetName val="Boa INTAN"/>
      <sheetName val="Boa WARR"/>
      <sheetName val="Lugano"/>
      <sheetName val="Lugano PPE"/>
      <sheetName val="Lugano Inventory"/>
      <sheetName val="Lugano Intang."/>
      <sheetName val="PrimaLoft"/>
      <sheetName val="PrimaLoft PPE"/>
      <sheetName val="PrimaLoft Inventory"/>
      <sheetName val="PrimaLoft Intang."/>
      <sheetName val="THP"/>
      <sheetName val="THP PPE"/>
      <sheetName val="THP Inventory"/>
      <sheetName val="THP Intang."/>
    </sheetNames>
    <sheetDataSet>
      <sheetData sheetId="0"/>
      <sheetData sheetId="1"/>
      <sheetData sheetId="2"/>
      <sheetData sheetId="3"/>
      <sheetData sheetId="4"/>
      <sheetData sheetId="5"/>
      <sheetData sheetId="6"/>
      <sheetData sheetId="7"/>
      <sheetData sheetId="8"/>
      <sheetData sheetId="9"/>
      <sheetData sheetId="10">
        <row r="45">
          <cell r="O45">
            <v>33750000</v>
          </cell>
        </row>
        <row r="46">
          <cell r="N46">
            <v>-146275384</v>
          </cell>
        </row>
        <row r="47">
          <cell r="O47">
            <v>6000000</v>
          </cell>
        </row>
        <row r="52">
          <cell r="N52">
            <v>-36999211.600000001</v>
          </cell>
        </row>
        <row r="66">
          <cell r="O66">
            <v>1839102424.8299999</v>
          </cell>
        </row>
        <row r="68">
          <cell r="N68">
            <v>-1455484905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S"/>
      <sheetName val="P&amp;L"/>
      <sheetName val="Comp Inc."/>
      <sheetName val="SE YTD"/>
      <sheetName val="CF"/>
      <sheetName val="BS - DATA"/>
      <sheetName val="P&amp;L YTD - DATA"/>
      <sheetName val="CF - data"/>
      <sheetName val="Min Int Roll"/>
      <sheetName val="Quarterly info"/>
      <sheetName val="Summ Sig Acctg Policies"/>
      <sheetName val="Suppl. Data "/>
      <sheetName val="Related Party"/>
      <sheetName val="INV"/>
      <sheetName val="PPE"/>
      <sheetName val="Goodwill"/>
      <sheetName val="Intangibles"/>
      <sheetName val="Segment (2)"/>
      <sheetName val="Segment (3)"/>
      <sheetName val="Identifiable"/>
      <sheetName val="International Cash and Assets"/>
      <sheetName val="FVM"/>
      <sheetName val="Debt"/>
      <sheetName val="Taxes"/>
      <sheetName val="NCI"/>
      <sheetName val="Equity"/>
      <sheetName val="Contribution based profit"/>
      <sheetName val="Pension"/>
      <sheetName val="Interest"/>
      <sheetName val="Schedule II"/>
      <sheetName val="Arnold"/>
      <sheetName val="AMT AR allowance"/>
      <sheetName val="Arnold Inv"/>
      <sheetName val="Arnold PPE"/>
      <sheetName val="Arnold Intgble"/>
      <sheetName val="Arnold - Int'l"/>
      <sheetName val="Arnold expenses"/>
      <sheetName val="THP"/>
      <sheetName val="THP AR Resrv "/>
      <sheetName val="THP PP&amp;E"/>
      <sheetName val="THP Inv"/>
      <sheetName val="THP intangibles"/>
      <sheetName val="THP expenses"/>
      <sheetName val="THP int. and tax paid"/>
      <sheetName val="Sterno"/>
      <sheetName val="Sterno AR allowances"/>
      <sheetName val="Sterno PPE"/>
      <sheetName val="Sterno Inventory"/>
      <sheetName val="Sterno Intangibles"/>
      <sheetName val="Sterno- Interest &amp; Taxes Paid"/>
      <sheetName val="Sterno- Int'l"/>
      <sheetName val="Sterno -Expenses"/>
      <sheetName val="Lugano"/>
      <sheetName val="Lugano AR Reserve"/>
      <sheetName val="Lugano PPE"/>
      <sheetName val="Lugano Inventory"/>
      <sheetName val="Lugano Intang."/>
      <sheetName val="Lugano Int'l"/>
      <sheetName val="Lugano expenses"/>
      <sheetName val="Lugano Tax and Int Pd "/>
      <sheetName val="5.11"/>
      <sheetName val="5.11 AR Reserves "/>
      <sheetName val="5.11 INV"/>
      <sheetName val="5.11 PPE"/>
      <sheetName val="5.11 INTAN."/>
      <sheetName val="5.11 Tax and Int Pd "/>
      <sheetName val="5.11 Int'l"/>
      <sheetName val="5.11 Expenses"/>
      <sheetName val="Velocity"/>
      <sheetName val="Velocity AR"/>
      <sheetName val="Velocity PPE"/>
      <sheetName val="Velocity INV"/>
      <sheetName val="Velocity INTAN"/>
      <sheetName val="Velocity WARR"/>
      <sheetName val="Velocity Expenses"/>
      <sheetName val="Velocity Taxes and Int."/>
      <sheetName val="Velocity Int'l"/>
      <sheetName val="Altor"/>
      <sheetName val="Altor AR"/>
      <sheetName val="Altor PPE"/>
      <sheetName val="Altor INV"/>
      <sheetName val="Altor INTAN"/>
      <sheetName val="Altor Expenses"/>
      <sheetName val="Altor -Int'l"/>
      <sheetName val="Altor Int. and Taxes"/>
      <sheetName val="Boa"/>
      <sheetName val="Boa AR"/>
      <sheetName val="Boa PPE"/>
      <sheetName val="Boa INV"/>
      <sheetName val="Boa INTAN"/>
      <sheetName val="Boa WARR"/>
      <sheetName val="Boa EXP"/>
      <sheetName val="Boa INT &amp; TAX"/>
      <sheetName val="Boa INT'L"/>
      <sheetName val="PL"/>
      <sheetName val="PL AR"/>
      <sheetName val="PL PPE"/>
      <sheetName val="PL INV"/>
      <sheetName val="PL INTAN "/>
      <sheetName val="PL EXP"/>
      <sheetName val="PL INT &amp; TAX "/>
      <sheetName val="PL INT'L"/>
    </sheetNames>
    <sheetDataSet>
      <sheetData sheetId="0"/>
      <sheetData sheetId="1"/>
      <sheetData sheetId="2"/>
      <sheetData sheetId="3"/>
      <sheetData sheetId="4"/>
      <sheetData sheetId="5">
        <row r="44">
          <cell r="O44">
            <v>37500000</v>
          </cell>
        </row>
        <row r="45">
          <cell r="N45">
            <v>-167763478</v>
          </cell>
        </row>
        <row r="51">
          <cell r="N51">
            <v>-6539827.6000000015</v>
          </cell>
        </row>
        <row r="65">
          <cell r="O65">
            <v>1839816501.8299999</v>
          </cell>
        </row>
        <row r="67">
          <cell r="N67">
            <v>-680106891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2.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57"/>
  <sheetViews>
    <sheetView showGridLines="0" tabSelected="1" zoomScaleNormal="100" workbookViewId="0">
      <pane xSplit="1" topLeftCell="B1" activePane="topRight" state="frozen"/>
      <selection activeCell="A8" sqref="A8"/>
      <selection pane="topRight" activeCell="B1" sqref="B1"/>
    </sheetView>
  </sheetViews>
  <sheetFormatPr defaultColWidth="9.140625" defaultRowHeight="15" outlineLevelRow="1" x14ac:dyDescent="0.25"/>
  <cols>
    <col min="1" max="1" width="45.7109375" style="4" customWidth="1"/>
    <col min="2" max="2" width="8" style="4" bestFit="1" customWidth="1"/>
    <col min="3" max="12" width="11.85546875" style="4" customWidth="1"/>
    <col min="13" max="13" width="2.42578125" style="4" customWidth="1"/>
    <col min="14" max="20" width="11.85546875" style="4" customWidth="1"/>
    <col min="21" max="21" width="2.140625" style="4" customWidth="1"/>
    <col min="22" max="22" width="13.42578125" style="4" bestFit="1" customWidth="1"/>
    <col min="23" max="23" width="9.28515625" style="4" customWidth="1"/>
    <col min="24" max="24" width="13.140625" style="4" customWidth="1"/>
    <col min="25" max="25" width="11.85546875" style="4" bestFit="1" customWidth="1"/>
    <col min="26" max="26" width="13.42578125" style="4" bestFit="1" customWidth="1"/>
    <col min="27" max="27" width="12.42578125" style="4" bestFit="1" customWidth="1"/>
    <col min="28" max="28" width="13.42578125" style="4" bestFit="1" customWidth="1"/>
    <col min="29" max="29" width="2.42578125" style="4" customWidth="1"/>
    <col min="30" max="36" width="12.5703125" style="4" customWidth="1"/>
    <col min="37" max="37" width="2.5703125" style="4" customWidth="1"/>
    <col min="38" max="16384" width="9.140625" style="4"/>
  </cols>
  <sheetData>
    <row r="1" spans="1:37" x14ac:dyDescent="0.25">
      <c r="A1" s="12" t="s">
        <v>172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row>
    <row r="2" spans="1:37" x14ac:dyDescent="0.25">
      <c r="A2" s="12" t="s">
        <v>1</v>
      </c>
      <c r="B2" s="6"/>
      <c r="C2" s="6"/>
      <c r="D2" s="6"/>
      <c r="E2" s="6"/>
      <c r="F2" s="6"/>
      <c r="G2" s="6"/>
      <c r="H2" s="6"/>
      <c r="I2" s="6"/>
      <c r="J2" s="725"/>
      <c r="K2" s="6"/>
      <c r="L2" s="6"/>
      <c r="M2" s="6"/>
      <c r="N2" s="6"/>
      <c r="O2" s="6"/>
      <c r="P2" s="6"/>
      <c r="Q2" s="6"/>
      <c r="R2" s="6"/>
      <c r="S2" s="6"/>
      <c r="T2" s="6"/>
      <c r="U2" s="6"/>
      <c r="V2" s="6"/>
      <c r="W2" s="6"/>
      <c r="X2" s="6"/>
      <c r="Y2" s="6"/>
      <c r="Z2" s="6"/>
      <c r="AA2" s="6"/>
      <c r="AB2" s="6"/>
      <c r="AC2" s="6"/>
      <c r="AD2" s="6"/>
      <c r="AE2" s="6"/>
      <c r="AF2" s="6"/>
      <c r="AG2" s="6"/>
      <c r="AH2" s="6"/>
      <c r="AI2" s="6"/>
      <c r="AJ2" s="6"/>
      <c r="AK2" s="6"/>
    </row>
    <row r="3" spans="1:37" x14ac:dyDescent="0.25">
      <c r="A3" s="12"/>
      <c r="B3" s="6"/>
      <c r="C3" s="6"/>
      <c r="D3" s="6"/>
      <c r="E3" s="6"/>
      <c r="F3" s="6"/>
      <c r="G3" s="6"/>
      <c r="H3" s="6"/>
      <c r="I3" s="6"/>
      <c r="J3" s="726"/>
      <c r="K3" s="6"/>
      <c r="L3" s="6"/>
      <c r="M3" s="6"/>
      <c r="N3" s="6"/>
      <c r="O3" s="6"/>
      <c r="P3" s="6"/>
      <c r="Q3" s="6"/>
      <c r="R3" s="6"/>
      <c r="S3" s="6"/>
      <c r="T3" s="6"/>
      <c r="U3" s="6"/>
      <c r="V3" s="6"/>
      <c r="W3" s="6"/>
      <c r="X3" s="6"/>
      <c r="Y3" s="6"/>
      <c r="Z3" s="6"/>
      <c r="AA3" s="6"/>
      <c r="AB3" s="6"/>
      <c r="AC3" s="6"/>
      <c r="AD3" s="6"/>
      <c r="AE3" s="6"/>
      <c r="AF3" s="6"/>
      <c r="AG3" s="6"/>
      <c r="AH3" s="6"/>
      <c r="AI3" s="6"/>
      <c r="AJ3" s="6"/>
      <c r="AK3" s="6"/>
    </row>
    <row r="4" spans="1:37" x14ac:dyDescent="0.25">
      <c r="A4" s="12"/>
      <c r="B4" s="6"/>
      <c r="C4" s="6"/>
      <c r="D4" s="6"/>
      <c r="E4" s="6"/>
      <c r="F4" s="6"/>
      <c r="G4" s="6"/>
      <c r="H4" s="6"/>
      <c r="I4" s="6"/>
      <c r="J4" s="727"/>
      <c r="K4" s="6"/>
      <c r="L4" s="6"/>
      <c r="M4" s="6"/>
      <c r="N4" s="6"/>
      <c r="O4" s="6"/>
      <c r="P4" s="6"/>
      <c r="Q4" s="6"/>
      <c r="R4" s="6"/>
      <c r="S4" s="6"/>
      <c r="T4" s="6"/>
      <c r="U4" s="6"/>
      <c r="V4" s="6"/>
      <c r="W4" s="6"/>
      <c r="X4" s="6"/>
      <c r="Y4" s="6"/>
      <c r="Z4" s="6"/>
      <c r="AA4" s="6"/>
      <c r="AB4" s="6"/>
      <c r="AC4" s="6"/>
      <c r="AD4" s="6"/>
      <c r="AE4" s="6"/>
      <c r="AF4" s="6"/>
      <c r="AG4" s="6"/>
      <c r="AH4" s="6"/>
      <c r="AI4" s="6"/>
      <c r="AJ4" s="6"/>
      <c r="AK4" s="6"/>
    </row>
    <row r="5" spans="1:37" x14ac:dyDescent="0.25">
      <c r="A5" s="12" t="s">
        <v>2</v>
      </c>
      <c r="B5" s="6"/>
      <c r="C5" s="6"/>
      <c r="D5" s="6"/>
      <c r="E5" s="6"/>
      <c r="F5" s="6"/>
      <c r="G5" s="6"/>
      <c r="H5" s="6"/>
      <c r="I5" s="6"/>
      <c r="J5" s="727"/>
      <c r="K5" s="6"/>
      <c r="L5" s="6"/>
      <c r="M5" s="6"/>
      <c r="N5" s="6"/>
      <c r="O5" s="6"/>
      <c r="P5" s="6"/>
      <c r="Q5" s="6"/>
      <c r="R5" s="6"/>
      <c r="S5" s="6"/>
      <c r="T5" s="6"/>
      <c r="U5" s="6"/>
      <c r="V5" s="6"/>
      <c r="W5" s="6"/>
      <c r="X5" s="6"/>
      <c r="Y5" s="6"/>
      <c r="Z5" s="6"/>
      <c r="AA5" s="6"/>
      <c r="AB5" s="6"/>
      <c r="AC5" s="6"/>
      <c r="AD5" s="6"/>
      <c r="AE5" s="6"/>
      <c r="AF5" s="6"/>
      <c r="AG5" s="6"/>
      <c r="AH5" s="6"/>
      <c r="AI5" s="6"/>
      <c r="AJ5" s="6"/>
      <c r="AK5" s="6"/>
    </row>
    <row r="6" spans="1:37" x14ac:dyDescent="0.25">
      <c r="A6" s="803" t="s">
        <v>244</v>
      </c>
      <c r="B6" s="803"/>
      <c r="C6" s="260"/>
      <c r="D6" s="260"/>
      <c r="E6" s="260"/>
      <c r="F6" s="260"/>
      <c r="G6" s="260"/>
      <c r="H6" s="260"/>
      <c r="I6" s="260"/>
      <c r="J6" s="727"/>
      <c r="K6" s="260"/>
      <c r="L6" s="260"/>
      <c r="M6" s="260"/>
      <c r="N6" s="761"/>
      <c r="O6" s="260"/>
      <c r="P6" s="260"/>
      <c r="Q6" s="260"/>
      <c r="R6" s="260"/>
      <c r="S6" s="260"/>
      <c r="T6" s="260"/>
      <c r="U6" s="260"/>
      <c r="V6" s="260"/>
      <c r="W6" s="260"/>
      <c r="X6" s="260"/>
      <c r="Y6" s="260"/>
      <c r="Z6" s="260"/>
      <c r="AA6" s="260"/>
      <c r="AB6" s="260"/>
      <c r="AC6" s="260"/>
      <c r="AD6" s="260"/>
      <c r="AE6" s="260"/>
      <c r="AF6" s="260"/>
      <c r="AG6" s="260"/>
      <c r="AH6" s="260"/>
      <c r="AI6" s="260"/>
      <c r="AJ6" s="260"/>
      <c r="AK6" s="260"/>
    </row>
    <row r="7" spans="1:37" ht="76.900000000000006" customHeight="1" x14ac:dyDescent="0.25">
      <c r="A7" s="6"/>
      <c r="B7" s="6"/>
      <c r="C7" s="6"/>
      <c r="D7" s="6"/>
      <c r="E7" s="6"/>
      <c r="F7" s="6"/>
      <c r="G7" s="786"/>
      <c r="H7" s="6"/>
      <c r="I7" s="6"/>
      <c r="J7" s="727"/>
      <c r="K7" s="6"/>
      <c r="L7" s="6"/>
      <c r="M7" s="6"/>
      <c r="N7" s="30"/>
      <c r="O7" s="6"/>
      <c r="P7" s="30"/>
      <c r="Q7" s="6"/>
      <c r="R7" s="6"/>
      <c r="S7" s="6"/>
      <c r="T7" s="30"/>
      <c r="U7" s="6"/>
      <c r="V7" s="30"/>
      <c r="W7" s="6"/>
      <c r="X7" s="30"/>
      <c r="Y7" s="6"/>
      <c r="Z7" s="6"/>
      <c r="AA7" s="6"/>
      <c r="AB7" s="6"/>
      <c r="AC7" s="6"/>
      <c r="AD7" s="6"/>
      <c r="AE7" s="6"/>
      <c r="AF7" s="6"/>
      <c r="AG7" s="6"/>
      <c r="AH7" s="6"/>
      <c r="AI7" s="6"/>
      <c r="AJ7" s="30"/>
      <c r="AK7" s="6"/>
    </row>
    <row r="8" spans="1:37" ht="15.75" thickBot="1" x14ac:dyDescent="0.3">
      <c r="A8" s="6"/>
      <c r="B8" s="6"/>
      <c r="C8" s="6"/>
      <c r="D8" s="6"/>
      <c r="E8" s="6"/>
      <c r="F8" s="30"/>
      <c r="G8" s="786"/>
      <c r="H8" s="6"/>
      <c r="I8" s="6"/>
      <c r="J8" s="6"/>
      <c r="K8"/>
      <c r="L8" s="6"/>
      <c r="M8" s="6"/>
      <c r="N8" s="786"/>
      <c r="O8" s="6"/>
      <c r="P8" s="30"/>
      <c r="Q8" s="6"/>
      <c r="R8" s="6"/>
      <c r="S8" s="6"/>
      <c r="T8" s="30"/>
      <c r="U8" s="6"/>
      <c r="V8" s="30"/>
      <c r="W8" s="30"/>
      <c r="X8" s="30"/>
      <c r="Y8" s="6"/>
      <c r="Z8" s="6"/>
      <c r="AA8" s="6"/>
      <c r="AB8" s="596"/>
      <c r="AC8" s="6"/>
      <c r="AD8" s="30"/>
      <c r="AE8" s="6"/>
      <c r="AF8" s="30"/>
      <c r="AG8" s="6"/>
      <c r="AH8" s="30"/>
      <c r="AI8" s="6"/>
      <c r="AJ8" s="30"/>
      <c r="AK8" s="6"/>
    </row>
    <row r="9" spans="1:37" ht="15.75" thickBot="1" x14ac:dyDescent="0.3">
      <c r="A9" s="6"/>
      <c r="B9" s="6"/>
      <c r="C9" s="6"/>
      <c r="D9" s="724">
        <v>2026</v>
      </c>
      <c r="E9" s="6"/>
      <c r="F9" s="804">
        <v>2025</v>
      </c>
      <c r="G9" s="805"/>
      <c r="H9" s="805"/>
      <c r="I9" s="805"/>
      <c r="J9" s="805"/>
      <c r="K9" s="805"/>
      <c r="L9" s="806"/>
      <c r="M9" s="6"/>
      <c r="N9" s="800">
        <v>2024</v>
      </c>
      <c r="O9" s="801"/>
      <c r="P9" s="801"/>
      <c r="Q9" s="801"/>
      <c r="R9" s="801"/>
      <c r="S9" s="801"/>
      <c r="T9" s="802"/>
      <c r="U9" s="6"/>
      <c r="V9" s="804">
        <v>2023</v>
      </c>
      <c r="W9" s="805"/>
      <c r="X9" s="805"/>
      <c r="Y9" s="805"/>
      <c r="Z9" s="805"/>
      <c r="AA9" s="805"/>
      <c r="AB9" s="806"/>
      <c r="AC9" s="693"/>
      <c r="AD9" s="804">
        <v>2022</v>
      </c>
      <c r="AE9" s="805"/>
      <c r="AF9" s="805"/>
      <c r="AG9" s="805"/>
      <c r="AH9" s="805"/>
      <c r="AI9" s="805"/>
      <c r="AJ9" s="806"/>
      <c r="AK9" s="6"/>
    </row>
    <row r="10" spans="1:37" s="163" customFormat="1" x14ac:dyDescent="0.25">
      <c r="A10" s="35"/>
      <c r="B10" s="35"/>
      <c r="C10" s="35"/>
      <c r="D10" s="476" t="s">
        <v>3</v>
      </c>
      <c r="E10" s="35"/>
      <c r="F10" s="791" t="s">
        <v>3</v>
      </c>
      <c r="G10" s="792" t="s">
        <v>4</v>
      </c>
      <c r="H10" s="792" t="s">
        <v>5</v>
      </c>
      <c r="I10" s="10" t="s">
        <v>6</v>
      </c>
      <c r="J10" s="10" t="s">
        <v>7</v>
      </c>
      <c r="K10" s="81" t="s">
        <v>8</v>
      </c>
      <c r="L10" s="82" t="s">
        <v>9</v>
      </c>
      <c r="M10" s="35"/>
      <c r="N10" s="76" t="s">
        <v>3</v>
      </c>
      <c r="O10" s="10" t="s">
        <v>4</v>
      </c>
      <c r="P10" s="10" t="s">
        <v>5</v>
      </c>
      <c r="Q10" s="10" t="s">
        <v>6</v>
      </c>
      <c r="R10" s="10" t="s">
        <v>7</v>
      </c>
      <c r="S10" s="81" t="s">
        <v>8</v>
      </c>
      <c r="T10" s="82" t="s">
        <v>9</v>
      </c>
      <c r="U10" s="35"/>
      <c r="V10" s="76" t="s">
        <v>3</v>
      </c>
      <c r="W10" s="10" t="s">
        <v>4</v>
      </c>
      <c r="X10" s="10" t="s">
        <v>5</v>
      </c>
      <c r="Y10" s="10" t="s">
        <v>6</v>
      </c>
      <c r="Z10" s="10" t="s">
        <v>7</v>
      </c>
      <c r="AA10" s="81" t="s">
        <v>8</v>
      </c>
      <c r="AB10" s="82" t="s">
        <v>9</v>
      </c>
      <c r="AC10" s="13"/>
      <c r="AD10" s="76" t="s">
        <v>3</v>
      </c>
      <c r="AE10" s="10" t="s">
        <v>4</v>
      </c>
      <c r="AF10" s="10" t="s">
        <v>5</v>
      </c>
      <c r="AG10" s="10" t="s">
        <v>6</v>
      </c>
      <c r="AH10" s="10" t="s">
        <v>7</v>
      </c>
      <c r="AI10" s="81" t="s">
        <v>8</v>
      </c>
      <c r="AJ10" s="82" t="s">
        <v>9</v>
      </c>
      <c r="AK10" s="35"/>
    </row>
    <row r="11" spans="1:37" x14ac:dyDescent="0.25">
      <c r="A11" s="6"/>
      <c r="B11" s="6"/>
      <c r="C11" s="6"/>
      <c r="D11" s="598"/>
      <c r="E11" s="6"/>
      <c r="F11" s="793"/>
      <c r="G11"/>
      <c r="H11"/>
      <c r="I11" s="274"/>
      <c r="J11" s="274"/>
      <c r="K11" s="274"/>
      <c r="L11" s="315"/>
      <c r="M11" s="6"/>
      <c r="N11" s="304"/>
      <c r="O11" s="274"/>
      <c r="P11" s="274"/>
      <c r="Q11" s="274"/>
      <c r="R11" s="274"/>
      <c r="S11" s="274"/>
      <c r="T11" s="315"/>
      <c r="U11" s="6"/>
      <c r="V11" s="304"/>
      <c r="W11" s="274"/>
      <c r="X11" s="274"/>
      <c r="Y11" s="274"/>
      <c r="Z11" s="274"/>
      <c r="AA11" s="274"/>
      <c r="AB11" s="315"/>
      <c r="AC11" s="315"/>
      <c r="AD11" s="304"/>
      <c r="AE11" s="274"/>
      <c r="AF11" s="274"/>
      <c r="AG11" s="274"/>
      <c r="AH11" s="274"/>
      <c r="AI11" s="274"/>
      <c r="AJ11" s="315"/>
      <c r="AK11" s="6"/>
    </row>
    <row r="12" spans="1:37" s="14" customFormat="1" x14ac:dyDescent="0.25">
      <c r="A12" s="12" t="s">
        <v>10</v>
      </c>
      <c r="B12" s="12"/>
      <c r="C12" s="12"/>
      <c r="D12" s="753">
        <f>Corporate!B10+'Arnold Magnetic'!E17+'Sterno Group'!E18+'5.11 Tactical'!E17+'Velocity Outdoor'!E17+'Altor Solutions'!E18+'BOA Technology'!E17+PrimaLoft!E17+THP!E17</f>
        <v>426855.32699999999</v>
      </c>
      <c r="E12" s="39"/>
      <c r="F12" s="697">
        <f>Corporate!D10+'Arnold Magnetic'!G17+'Sterno Group'!G18+'5.11 Tactical'!G17+'Velocity Outdoor'!G17+'Altor Solutions'!G18+'BOA Technology'!G17+Lugano!E17+PrimaLoft!G17+THP!G17</f>
        <v>453774.57199999999</v>
      </c>
      <c r="G12" s="653">
        <f>Corporate!E10+'Arnold Magnetic'!H17+'Sterno Group'!H18+'5.11 Tactical'!H17+'Velocity Outdoor'!H17+'Altor Solutions'!H18+'BOA Technology'!H17+Lugano!F17+PrimaLoft!H17+THP!H17</f>
        <v>478690.08233999996</v>
      </c>
      <c r="H12" s="653">
        <f>Corporate!F10+'Arnold Magnetic'!I17+'Sterno Group'!I18+'5.11 Tactical'!I17+'Velocity Outdoor'!I17+'Altor Solutions'!I18+'BOA Technology'!I17+Lugano!G17+PrimaLoft!I17+THP!I17</f>
        <v>932464.65434000001</v>
      </c>
      <c r="I12" s="451">
        <f>Corporate!G10+'Arnold Magnetic'!J17+'Sterno Group'!J18+'5.11 Tactical'!J17+'Velocity Outdoor'!J17+'Altor Solutions'!J18+'BOA Technology'!J17+Lugano!H17+PrimaLoft!J17+THP!J17</f>
        <v>472562.10400000005</v>
      </c>
      <c r="J12" s="451">
        <f>Corporate!H10+'Arnold Magnetic'!K17+'Sterno Group'!K18+'5.11 Tactical'!K17+'Velocity Outdoor'!K17+'Altor Solutions'!K18+'BOA Technology'!K17+Lugano!I17+PrimaLoft!K17+THP!K17</f>
        <v>1405026.7583400004</v>
      </c>
      <c r="K12" s="653">
        <f t="shared" ref="K12:K19" si="0">L12-J12</f>
        <v>468557.39299999923</v>
      </c>
      <c r="L12" s="341">
        <f>Corporate!J10+'Arnold Magnetic'!M17+'Sterno Group'!M18+'5.11 Tactical'!M17+'Velocity Outdoor'!M17+'Altor Solutions'!M18+'BOA Technology'!M17+Lugano!K17+PrimaLoft!M17+THP!M17</f>
        <v>1873584.1513399996</v>
      </c>
      <c r="M12" s="39"/>
      <c r="N12" s="439">
        <f>Corporate!L10+'Arnold Magnetic'!O17+'Sterno Group'!O18+'5.11 Tactical'!O17+'Velocity Outdoor'!O17+'Altor Solutions'!O18+'BOA Technology'!O17+Lugano!M17+PrimaLoft!O17+THP!O17</f>
        <v>410826.28600000002</v>
      </c>
      <c r="O12" s="451">
        <f>Corporate!M10+'Arnold Magnetic'!P17+'Sterno Group'!P18+'5.11 Tactical'!P17+'Velocity Outdoor'!P17+'Altor Solutions'!P18+'BOA Technology'!P17+Lugano!N17+PrimaLoft!P17+THP!P17</f>
        <v>426704.99900000001</v>
      </c>
      <c r="P12" s="451">
        <f>Corporate!N10+'Arnold Magnetic'!Q17+'Sterno Group'!Q18+'5.11 Tactical'!Q17+'Velocity Outdoor'!Q17+'Altor Solutions'!Q18+'BOA Technology'!Q17+Lugano!O17+PrimaLoft!Q17+THP!Q17</f>
        <v>837531.28500000003</v>
      </c>
      <c r="Q12" s="451">
        <f>Corporate!O10+'Arnold Magnetic'!R17+'Sterno Group'!R18+'5.11 Tactical'!R17+'Velocity Outdoor'!R17+'Altor Solutions'!R18+'BOA Technology'!R17+Lugano!P17+PrimaLoft!R17+THP!R17</f>
        <v>456552.94300000003</v>
      </c>
      <c r="R12" s="451">
        <f>Corporate!P10+'Arnold Magnetic'!S17+'Sterno Group'!S18+'5.11 Tactical'!S17+'Velocity Outdoor'!S17+'Altor Solutions'!S18+'BOA Technology'!S17+Lugano!Q17+PrimaLoft!S17+THP!S17</f>
        <v>1294084.2280000001</v>
      </c>
      <c r="S12" s="451">
        <f t="shared" ref="S12:S19" si="1">T12-R12</f>
        <v>493928.77599999984</v>
      </c>
      <c r="T12" s="341">
        <f>Corporate!R10+'Arnold Magnetic'!U17+'Sterno Group'!U18+'5.11 Tactical'!U17+'Velocity Outdoor'!U17+'Altor Solutions'!U18+'BOA Technology'!U17+Lugano!S17+PrimaLoft!U17+THP!U17-1</f>
        <v>1788013.004</v>
      </c>
      <c r="U12" s="39"/>
      <c r="V12" s="439">
        <f>Corporate!T10+'Arnold Magnetic'!W17+'Sterno Group'!W18+'5.11 Tactical'!W17+'Velocity Outdoor'!W17+'Altor Solutions'!W18+'BOA Technology'!W17+Lugano!U17+PrimaLoft!W17-1</f>
        <v>406057.06300000002</v>
      </c>
      <c r="W12" s="451">
        <f>X12-V12</f>
        <v>405498.99999999994</v>
      </c>
      <c r="X12" s="451">
        <f>Corporate!V10+'Arnold Magnetic'!Y17+'Sterno Group'!Y18+'5.11 Tactical'!Y17+'Velocity Outdoor'!Y17+'Altor Solutions'!Y18+'BOA Technology'!Y17+Lugano!W17+PrimaLoft!Y17+1</f>
        <v>811556.06299999997</v>
      </c>
      <c r="Y12" s="451">
        <f>Z12-X12</f>
        <v>427063.06699999992</v>
      </c>
      <c r="Z12" s="451">
        <f>Corporate!X10+'Arnold Magnetic'!AA17+'Sterno Group'!AA18+'5.11 Tactical'!AA17+'Velocity Outdoor'!AA17+'Altor Solutions'!AA18+'BOA Technology'!AA17+Lugano!Y17+PrimaLoft!AA17+2</f>
        <v>1238619.1299999999</v>
      </c>
      <c r="AA12" s="451">
        <f>AB12-Z12</f>
        <v>451300.72800000035</v>
      </c>
      <c r="AB12" s="341">
        <f>Corporate!Z10+'Arnold Magnetic'!AC17+'Sterno Group'!AC18+'5.11 Tactical'!AC17+'Velocity Outdoor'!AC17+'Altor Solutions'!AC18+'BOA Technology'!AC17+Lugano!AA17+PrimaLoft!AC17+1</f>
        <v>1689919.8580000002</v>
      </c>
      <c r="AC12" s="39"/>
      <c r="AD12" s="439">
        <f>Corporate!AB10+'Arnold Magnetic'!AE17+'Sterno Group'!AE18+'5.11 Tactical'!$AE$17+'Velocity Outdoor'!AE17+'Altor Solutions'!$AE$18+'BOA Technology'!AE17+Lugano!AC17</f>
        <v>400214.00599999999</v>
      </c>
      <c r="AE12" s="451">
        <f>AF12-AD12</f>
        <v>427256.56599999993</v>
      </c>
      <c r="AF12" s="451">
        <f>Corporate!AD10+'Arnold Magnetic'!AG17+'Sterno Group'!AG18+'5.11 Tactical'!AG17+'Velocity Outdoor'!AG17+'Altor Solutions'!AG18+'BOA Technology'!AG17+Lugano!AE17</f>
        <v>827470.57199999993</v>
      </c>
      <c r="AG12" s="451">
        <f>AH12-AF12</f>
        <v>473939.75699999998</v>
      </c>
      <c r="AH12" s="451">
        <f>Corporate!AF10+'Arnold Magnetic'!AI17+'Sterno Group'!AI18+'5.11 Tactical'!AI17+'Velocity Outdoor'!AI17+'Altor Solutions'!AI18+'BOA Technology'!AI17+Lugano!AG17+PrimaLoft!AF17</f>
        <v>1301410.3289999999</v>
      </c>
      <c r="AI12" s="451">
        <f>AJ12-AH12</f>
        <v>455398.82400000002</v>
      </c>
      <c r="AJ12" s="341">
        <f>Corporate!AH10+'Arnold Magnetic'!AK17+'Sterno Group'!AK18+'5.11 Tactical'!AK17+'Velocity Outdoor'!AK17+'Altor Solutions'!AK18+'BOA Technology'!AK17+Lugano!AI17+PrimaLoft!AH17+2</f>
        <v>1756809.1529999999</v>
      </c>
      <c r="AK12" s="39"/>
    </row>
    <row r="13" spans="1:37" s="194" customFormat="1" x14ac:dyDescent="0.25">
      <c r="A13" s="12" t="s">
        <v>11</v>
      </c>
      <c r="B13" s="215"/>
      <c r="C13" s="215"/>
      <c r="D13" s="754">
        <f>Corporate!B11+'Arnold Magnetic'!E18+'Sterno Group'!E19+'5.11 Tactical'!E18+'Velocity Outdoor'!E18+'Altor Solutions'!E19+'BOA Technology'!E18+PrimaLoft!E18+THP!E18</f>
        <v>237496.74900000001</v>
      </c>
      <c r="E13" s="213"/>
      <c r="F13" s="794">
        <f>Corporate!D11+'Arnold Magnetic'!G18+'Sterno Group'!G19+'5.11 Tactical'!G18+'Velocity Outdoor'!G18+'Altor Solutions'!G19+'BOA Technology'!G18+Lugano!E18+PrimaLoft!G18+THP!G18</f>
        <v>257742.67800000001</v>
      </c>
      <c r="G13" s="790">
        <f>Corporate!E11+'Arnold Magnetic'!H18+'Sterno Group'!H19+'5.11 Tactical'!H18+'Velocity Outdoor'!H18+'Altor Solutions'!H19+'BOA Technology'!H18+Lugano!F18+PrimaLoft!H18+THP!H18-1</f>
        <v>270148.80100000004</v>
      </c>
      <c r="H13" s="790">
        <f>Corporate!F11+'Arnold Magnetic'!I18+'Sterno Group'!I19+'5.11 Tactical'!I18+'Velocity Outdoor'!I18+'Altor Solutions'!I19+'BOA Technology'!I18+Lugano!G18+PrimaLoft!I18+THP!I18</f>
        <v>527892.47899999993</v>
      </c>
      <c r="I13" s="456">
        <f>Corporate!G11+'Arnold Magnetic'!J18+'Sterno Group'!J19+'5.11 Tactical'!J18+'Velocity Outdoor'!J18+'Altor Solutions'!J19+'BOA Technology'!J18+Lugano!H18+PrimaLoft!J18+THP!J18</f>
        <v>264846.61800000002</v>
      </c>
      <c r="J13" s="456">
        <f>Corporate!H11+'Arnold Magnetic'!K18+'Sterno Group'!K19+'5.11 Tactical'!K18+'Velocity Outdoor'!K18+'Altor Solutions'!K19+'BOA Technology'!K18+Lugano!I18+PrimaLoft!K18+THP!K18</f>
        <v>792739.09699999983</v>
      </c>
      <c r="K13" s="790">
        <f t="shared" si="0"/>
        <v>266452.97200000007</v>
      </c>
      <c r="L13" s="342">
        <f>Corporate!J11+'Arnold Magnetic'!M18+'Sterno Group'!M19+'5.11 Tactical'!M18+'Velocity Outdoor'!M18+'Altor Solutions'!M19+'BOA Technology'!M18+Lugano!K18+PrimaLoft!M18+THP!M18</f>
        <v>1059192.0689999999</v>
      </c>
      <c r="M13" s="39"/>
      <c r="N13" s="488">
        <f>Corporate!L11+'Arnold Magnetic'!O18+'Sterno Group'!O19+'5.11 Tactical'!O18+'Velocity Outdoor'!O18+'Altor Solutions'!O19+'BOA Technology'!O18+Lugano!M18+PrimaLoft!O18+THP!O18+1</f>
        <v>235874.44500000001</v>
      </c>
      <c r="O13" s="456">
        <f>Corporate!M11+'Arnold Magnetic'!P18+'Sterno Group'!P19+'5.11 Tactical'!P18+'Velocity Outdoor'!P18+'Altor Solutions'!P19+'BOA Technology'!P18+Lugano!N18+PrimaLoft!P18+THP!P18</f>
        <v>238520.489</v>
      </c>
      <c r="P13" s="456">
        <f>Corporate!N11+'Arnold Magnetic'!Q18+'Sterno Group'!Q19+'5.11 Tactical'!Q18+'Velocity Outdoor'!Q18+'Altor Solutions'!Q19+'BOA Technology'!Q18+Lugano!O18+PrimaLoft!Q18+THP!Q18</f>
        <v>474393.93400000001</v>
      </c>
      <c r="Q13" s="456">
        <f>Corporate!O11+'Arnold Magnetic'!R18+'Sterno Group'!R19+'5.11 Tactical'!R18+'Velocity Outdoor'!R18+'Altor Solutions'!R19+'BOA Technology'!R18+Lugano!P18+PrimaLoft!R18+THP!R18-1</f>
        <v>259920.217</v>
      </c>
      <c r="R13" s="456">
        <f>Corporate!P11+'Arnold Magnetic'!S18+'Sterno Group'!S19+'5.11 Tactical'!S18+'Velocity Outdoor'!S18+'Altor Solutions'!S19+'BOA Technology'!S18+Lugano!Q18+PrimaLoft!S18+THP!S18</f>
        <v>734314.15099999995</v>
      </c>
      <c r="S13" s="456">
        <f t="shared" si="1"/>
        <v>303280.01</v>
      </c>
      <c r="T13" s="342">
        <f>Corporate!R11+'Arnold Magnetic'!U18+'Sterno Group'!U19+'5.11 Tactical'!U18+'Velocity Outdoor'!U18+'Altor Solutions'!U19+'BOA Technology'!U18+Lugano!S18+PrimaLoft!U18+THP!U18-1</f>
        <v>1037594.161</v>
      </c>
      <c r="U13" s="39"/>
      <c r="V13" s="488">
        <f>Corporate!T11+'Arnold Magnetic'!W18+'Sterno Group'!W19+'5.11 Tactical'!W18+'Velocity Outdoor'!W18+'Altor Solutions'!W19+'BOA Technology'!W18+Lugano!U18+PrimaLoft!W18</f>
        <v>245564.79399999999</v>
      </c>
      <c r="W13" s="456">
        <f t="shared" ref="W13:AA29" si="2">X13-V13</f>
        <v>237883.212</v>
      </c>
      <c r="X13" s="456">
        <f>Corporate!V11+'Arnold Magnetic'!Y18+'Sterno Group'!Y19+'5.11 Tactical'!Y18+'Velocity Outdoor'!Y18+'Altor Solutions'!Y19+'BOA Technology'!Y18+Lugano!W18+PrimaLoft!Y18</f>
        <v>483448.00599999999</v>
      </c>
      <c r="Y13" s="456">
        <f t="shared" si="2"/>
        <v>259006.72800000006</v>
      </c>
      <c r="Z13" s="456">
        <f>Corporate!X11+'Arnold Magnetic'!AA18+'Sterno Group'!AA19+'5.11 Tactical'!AA18+'Velocity Outdoor'!AA18+'Altor Solutions'!AA19+'BOA Technology'!AA18+Lugano!Y18+PrimaLoft!AA18+1</f>
        <v>742454.73400000005</v>
      </c>
      <c r="AA13" s="456">
        <f t="shared" si="2"/>
        <v>272745.09900000005</v>
      </c>
      <c r="AB13" s="342">
        <f>Corporate!Z11+'Arnold Magnetic'!AC18+'Sterno Group'!AC19+'5.11 Tactical'!AC18+'Velocity Outdoor'!AC18+'Altor Solutions'!AC19+'BOA Technology'!AC18+Lugano!AA18+PrimaLoft!AC18+0.5</f>
        <v>1015199.8330000001</v>
      </c>
      <c r="AC13" s="39"/>
      <c r="AD13" s="488">
        <f>Corporate!AB11+'Arnold Magnetic'!AE18+'Sterno Group'!AE19+'5.11 Tactical'!AE18+'Velocity Outdoor'!AE18+'Altor Solutions'!AE19+'BOA Technology'!AE18+Lugano!AC18</f>
        <v>253732.274</v>
      </c>
      <c r="AE13" s="456">
        <f t="shared" ref="AE13:AE29" si="3">AF13-AD13</f>
        <v>262051.14099999997</v>
      </c>
      <c r="AF13" s="456">
        <f>Corporate!AD11+'Arnold Magnetic'!AG18+'Sterno Group'!AG19+'5.11 Tactical'!AG18+'Velocity Outdoor'!AG18+'Altor Solutions'!AG19+'BOA Technology'!AG18+Lugano!AE18</f>
        <v>515783.41499999998</v>
      </c>
      <c r="AG13" s="456">
        <f t="shared" ref="AG13:AI29" si="4">AH13-AF13</f>
        <v>301078.21399999998</v>
      </c>
      <c r="AH13" s="456">
        <f>Corporate!AF11+'Arnold Magnetic'!AI18+'Sterno Group'!AI19+'5.11 Tactical'!AI18+'Velocity Outdoor'!AI18+'Altor Solutions'!AI19+'BOA Technology'!AI18+Lugano!AG18+PrimaLoft!AF18</f>
        <v>816861.62899999996</v>
      </c>
      <c r="AI13" s="456">
        <f t="shared" si="4"/>
        <v>290516.43500000006</v>
      </c>
      <c r="AJ13" s="342">
        <f>Corporate!AH11+'Arnold Magnetic'!AK18+'Sterno Group'!AK19+'5.11 Tactical'!AK18+'Velocity Outdoor'!AK18+'Altor Solutions'!AK19+'BOA Technology'!AK18+Lugano!AI18+PrimaLoft!AH18</f>
        <v>1107378.064</v>
      </c>
      <c r="AK13" s="39"/>
    </row>
    <row r="14" spans="1:37" s="14" customFormat="1" x14ac:dyDescent="0.25">
      <c r="A14" s="12" t="s">
        <v>12</v>
      </c>
      <c r="B14" s="12"/>
      <c r="C14" s="26"/>
      <c r="D14" s="753">
        <f>Corporate!B12+'Arnold Magnetic'!E19+'Sterno Group'!E20+'5.11 Tactical'!E19+'Velocity Outdoor'!E19+'Altor Solutions'!E20+'BOA Technology'!E19+PrimaLoft!E19+THP!E19</f>
        <v>189358.57800000001</v>
      </c>
      <c r="E14" s="39"/>
      <c r="F14" s="697">
        <f>Corporate!D12+'Arnold Magnetic'!G19+'Sterno Group'!G20+'5.11 Tactical'!G19+'Velocity Outdoor'!G19+'Altor Solutions'!G20+'BOA Technology'!G19+Lugano!E19+PrimaLoft!G19+THP!G19</f>
        <v>196031.894</v>
      </c>
      <c r="G14" s="653">
        <f>Corporate!E12+'Arnold Magnetic'!H19+'Sterno Group'!H20+'5.11 Tactical'!H19+'Velocity Outdoor'!H19+'Altor Solutions'!H20+'BOA Technology'!H19+Lugano!F19+PrimaLoft!H19+THP!H19+1</f>
        <v>208541.28133999999</v>
      </c>
      <c r="H14" s="653">
        <f>Corporate!F12+'Arnold Magnetic'!I19+'Sterno Group'!I20+'5.11 Tactical'!I19+'Velocity Outdoor'!I19+'Altor Solutions'!I20+'BOA Technology'!I19+Lugano!G19+PrimaLoft!I19+THP!I19</f>
        <v>404572.17534000002</v>
      </c>
      <c r="I14" s="451">
        <f>Corporate!G12+'Arnold Magnetic'!J19+'Sterno Group'!J20+'5.11 Tactical'!J19+'Velocity Outdoor'!J19+'Altor Solutions'!J20+'BOA Technology'!J19+Lugano!H19+PrimaLoft!J19+THP!J19</f>
        <v>207715.486</v>
      </c>
      <c r="J14" s="451">
        <f>Corporate!H12+'Arnold Magnetic'!K19+'Sterno Group'!K20+'5.11 Tactical'!K19+'Velocity Outdoor'!K19+'Altor Solutions'!K20+'BOA Technology'!K19+Lugano!I19+PrimaLoft!K19+THP!K19</f>
        <v>612287.66134000011</v>
      </c>
      <c r="K14" s="653">
        <f t="shared" si="0"/>
        <v>202104.42099999986</v>
      </c>
      <c r="L14" s="341">
        <f>Corporate!J12+'Arnold Magnetic'!M19+'Sterno Group'!M20+'5.11 Tactical'!M19+'Velocity Outdoor'!M19+'Altor Solutions'!M20+'BOA Technology'!M19+Lugano!K19+PrimaLoft!M19+THP!M19</f>
        <v>814392.08233999996</v>
      </c>
      <c r="M14" s="39"/>
      <c r="N14" s="439">
        <f>Corporate!L12+'Arnold Magnetic'!O19+'Sterno Group'!O20+'5.11 Tactical'!O19+'Velocity Outdoor'!O19+'Altor Solutions'!O20+'BOA Technology'!O19+Lugano!M19+PrimaLoft!O19+THP!O19-1</f>
        <v>174951.84100000001</v>
      </c>
      <c r="O14" s="451">
        <f>Corporate!M12+'Arnold Magnetic'!P19+'Sterno Group'!P20+'5.11 Tactical'!P19+'Velocity Outdoor'!P19+'Altor Solutions'!P20+'BOA Technology'!P19+Lugano!N19+PrimaLoft!P19+THP!P19</f>
        <v>188184.51</v>
      </c>
      <c r="P14" s="451">
        <f>Corporate!N12+'Arnold Magnetic'!Q19+'Sterno Group'!Q20+'5.11 Tactical'!Q19+'Velocity Outdoor'!Q19+'Altor Solutions'!Q20+'BOA Technology'!Q19+Lugano!O19+PrimaLoft!Q19+THP!Q19</f>
        <v>363137.35100000002</v>
      </c>
      <c r="Q14" s="451">
        <f>Corporate!O12+'Arnold Magnetic'!R19+'Sterno Group'!R20+'5.11 Tactical'!R19+'Velocity Outdoor'!R19+'Altor Solutions'!R20+'BOA Technology'!R19+Lugano!P19+PrimaLoft!R19+THP!R19+1</f>
        <v>196632.726</v>
      </c>
      <c r="R14" s="451">
        <f>Corporate!P12+'Arnold Magnetic'!S19+'Sterno Group'!S20+'5.11 Tactical'!S19+'Velocity Outdoor'!S19+'Altor Solutions'!S20+'BOA Technology'!S19+Lugano!Q19+PrimaLoft!S19+THP!S19</f>
        <v>559770.07700000005</v>
      </c>
      <c r="S14" s="451">
        <f t="shared" si="1"/>
        <v>190648.76599999995</v>
      </c>
      <c r="T14" s="341">
        <f>Corporate!R12+'Arnold Magnetic'!U19+'Sterno Group'!U20+'5.11 Tactical'!U19+'Velocity Outdoor'!U19+'Altor Solutions'!U20+'BOA Technology'!U19+Lugano!S19+PrimaLoft!U19+THP!U19</f>
        <v>750418.84299999999</v>
      </c>
      <c r="U14" s="39"/>
      <c r="V14" s="439">
        <f>Corporate!T12+'Arnold Magnetic'!W19+'Sterno Group'!W20+'5.11 Tactical'!W19+'Velocity Outdoor'!W19+'Altor Solutions'!W20+'BOA Technology'!W19+Lugano!U19+PrimaLoft!W19-1</f>
        <v>160492.269</v>
      </c>
      <c r="W14" s="451">
        <f t="shared" si="2"/>
        <v>167615.78800000003</v>
      </c>
      <c r="X14" s="451">
        <f>Corporate!V12+'Arnold Magnetic'!Y19+'Sterno Group'!Y20+'5.11 Tactical'!Y19+'Velocity Outdoor'!Y19+'Altor Solutions'!Y20+'BOA Technology'!Y19+Lugano!W19+PrimaLoft!Y19+1</f>
        <v>328108.05700000003</v>
      </c>
      <c r="Y14" s="451">
        <f t="shared" si="2"/>
        <v>168056.33899999998</v>
      </c>
      <c r="Z14" s="451">
        <f>Corporate!X12+'Arnold Magnetic'!AA19+'Sterno Group'!AA20+'5.11 Tactical'!AA19+'Velocity Outdoor'!AA19+'Altor Solutions'!AA20+'BOA Technology'!AA19+Lugano!Y19+PrimaLoft!AA19+1</f>
        <v>496164.39600000001</v>
      </c>
      <c r="AA14" s="451">
        <f t="shared" si="2"/>
        <v>178555.12900000002</v>
      </c>
      <c r="AB14" s="341">
        <f>Corporate!Z12+'Arnold Magnetic'!AC19+'Sterno Group'!AC20+'5.11 Tactical'!AC19+'Velocity Outdoor'!AC19+'Altor Solutions'!AC20+'BOA Technology'!AC19+Lugano!AA19+PrimaLoft!AC19-1</f>
        <v>674719.52500000002</v>
      </c>
      <c r="AC14" s="39"/>
      <c r="AD14" s="439">
        <f>Corporate!AB12+'Arnold Magnetic'!AE19+'Sterno Group'!AE20+'5.11 Tactical'!AE19+'Velocity Outdoor'!AE19+'Altor Solutions'!AE20+'BOA Technology'!AE19+Lugano!AC19</f>
        <v>146481.73199999999</v>
      </c>
      <c r="AE14" s="451">
        <f t="shared" si="3"/>
        <v>165206.22699999998</v>
      </c>
      <c r="AF14" s="451">
        <f>Corporate!AD12+'Arnold Magnetic'!AG19+'Sterno Group'!AG20+'5.11 Tactical'!AG19+'Velocity Outdoor'!AG19+'Altor Solutions'!AG20+'BOA Technology'!AG19+Lugano!AE19+1</f>
        <v>311687.95899999997</v>
      </c>
      <c r="AG14" s="451">
        <f t="shared" si="4"/>
        <v>172859.74100000004</v>
      </c>
      <c r="AH14" s="451">
        <f>Corporate!AF12+'Arnold Magnetic'!AI19+'Sterno Group'!AI20+'5.11 Tactical'!AI19+'Velocity Outdoor'!AI19+'Altor Solutions'!AI20+'BOA Technology'!AI19+Lugano!AG19+PrimaLoft!AF19-1</f>
        <v>484547.7</v>
      </c>
      <c r="AI14" s="451">
        <f t="shared" si="4"/>
        <v>164883.38900000002</v>
      </c>
      <c r="AJ14" s="341">
        <f>Corporate!AH12+'Arnold Magnetic'!AK19+'Sterno Group'!AK20+'5.11 Tactical'!AK19+'Velocity Outdoor'!AK19+'Altor Solutions'!AK20+'BOA Technology'!AK19+Lugano!AI19+PrimaLoft!AH19+2</f>
        <v>649431.08900000004</v>
      </c>
      <c r="AK14" s="39"/>
    </row>
    <row r="15" spans="1:37" x14ac:dyDescent="0.25">
      <c r="A15" s="6" t="s">
        <v>13</v>
      </c>
      <c r="B15" s="6"/>
      <c r="C15" s="6"/>
      <c r="D15" s="755">
        <f>Corporate!B13+'Arnold Magnetic'!E20+'Sterno Group'!E21+'5.11 Tactical'!E20+'Velocity Outdoor'!E20+'Altor Solutions'!E21+'BOA Technology'!E20+PrimaLoft!E20+THP!E20-1</f>
        <v>132010.201</v>
      </c>
      <c r="E15" s="36"/>
      <c r="F15" s="643">
        <f>Corporate!D13+Corporate!D17+'Arnold Magnetic'!G20+'Sterno Group'!G21+'5.11 Tactical'!G20+'Velocity Outdoor'!G20+'Altor Solutions'!G21+'BOA Technology'!G20+Lugano!E20+PrimaLoft!G20+THP!G20+THP!G23</f>
        <v>150376.95199999999</v>
      </c>
      <c r="G15" s="586">
        <f>Corporate!E13+Corporate!E17+'Arnold Magnetic'!H20+'Sterno Group'!H21+'5.11 Tactical'!H20+'Velocity Outdoor'!H20+'Altor Solutions'!H21+'BOA Technology'!H20+Lugano!F20+PrimaLoft!H20+THP!H20+THP!H23</f>
        <v>162112.13</v>
      </c>
      <c r="H15" s="586">
        <f>Corporate!F13+Corporate!F17+'Arnold Magnetic'!I20+'Sterno Group'!I21+'5.11 Tactical'!I20+'Velocity Outdoor'!I20+'Altor Solutions'!I21+'BOA Technology'!I20+Lugano!G20+PrimaLoft!I20+THP!I20+THP!I23</f>
        <v>312489.08200000005</v>
      </c>
      <c r="I15" s="457">
        <f>Corporate!G13+Corporate!G17+'Arnold Magnetic'!J20+'Sterno Group'!J21+'5.11 Tactical'!J20+'Velocity Outdoor'!J20+'Altor Solutions'!J21+'BOA Technology'!J20+Lugano!H20+PrimaLoft!J20+THP!J20+THP!J23+1</f>
        <v>179315.13499999995</v>
      </c>
      <c r="J15" s="457">
        <f>Corporate!H13+Corporate!H17+'Arnold Magnetic'!K20+'Sterno Group'!K21+'5.11 Tactical'!K20+'Velocity Outdoor'!K20+'Altor Solutions'!K21+'BOA Technology'!K20+Lugano!I20+PrimaLoft!K20+THP!K20+THP!K23+1</f>
        <v>491804.21699999995</v>
      </c>
      <c r="K15" s="586">
        <f t="shared" si="0"/>
        <v>168870.17599999998</v>
      </c>
      <c r="L15" s="343">
        <f>Corporate!J13+Corporate!J17+'Arnold Magnetic'!M20+'Sterno Group'!M21+'5.11 Tactical'!M20+'Velocity Outdoor'!M20+'Altor Solutions'!M21+'BOA Technology'!M20+Lugano!K20+PrimaLoft!M20+THP!M20+THP!M23</f>
        <v>660674.39299999992</v>
      </c>
      <c r="M15" s="39"/>
      <c r="N15" s="489">
        <f>Corporate!L13+Corporate!L17+'Arnold Magnetic'!O20+'Sterno Group'!O21+'5.11 Tactical'!O20+'Velocity Outdoor'!O20+'Altor Solutions'!O21+'BOA Technology'!O20+Lugano!M20+PrimaLoft!O20+THP!O20+THP!O23-2</f>
        <v>137724</v>
      </c>
      <c r="O15" s="457">
        <f>Corporate!M13+Corporate!M17+'Arnold Magnetic'!P20+'Sterno Group'!P21+'5.11 Tactical'!P20+'Velocity Outdoor'!P20+'Altor Solutions'!P21+'BOA Technology'!P20+Lugano!N20+PrimaLoft!P20+THP!P20+THP!P23</f>
        <v>137581</v>
      </c>
      <c r="P15" s="457">
        <f>Corporate!N13+Corporate!N17+'Arnold Magnetic'!Q20+'Sterno Group'!Q21+'5.11 Tactical'!Q20+'Velocity Outdoor'!Q20+'Altor Solutions'!Q21+'BOA Technology'!Q20+Lugano!O20+PrimaLoft!Q20+THP!Q20+THP!Q23</f>
        <v>275305</v>
      </c>
      <c r="Q15" s="457">
        <f>Corporate!O13+Corporate!O17+'Arnold Magnetic'!R20+'Sterno Group'!R21+'5.11 Tactical'!R20+'Velocity Outdoor'!R20+'Altor Solutions'!R21+'BOA Technology'!R20+Lugano!P20+PrimaLoft!R20+THP!R20+THP!R23</f>
        <v>145959</v>
      </c>
      <c r="R15" s="457">
        <f>Corporate!P13+Corporate!P17+'Arnold Magnetic'!S20+'Sterno Group'!S21+'5.11 Tactical'!S20+'Velocity Outdoor'!S20+'Altor Solutions'!S21+'BOA Technology'!S20+Lugano!Q20+PrimaLoft!S20+THP!S20+THP!S23</f>
        <v>421264</v>
      </c>
      <c r="S15" s="457">
        <f t="shared" si="1"/>
        <v>166256.91099999996</v>
      </c>
      <c r="T15" s="343">
        <f>Corporate!R13+Corporate!R17+'Arnold Magnetic'!U20+'Sterno Group'!U21+'5.11 Tactical'!U20+'Velocity Outdoor'!U20+'Altor Solutions'!U21+'BOA Technology'!U20+Lugano!S20+PrimaLoft!U20+THP!U20+THP!U23+2</f>
        <v>587520.91099999996</v>
      </c>
      <c r="U15" s="39"/>
      <c r="V15" s="489">
        <f>Corporate!T13+'Arnold Magnetic'!W20+'Sterno Group'!W21+'5.11 Tactical'!W20+'Velocity Outdoor'!W20+'Altor Solutions'!W21+'BOA Technology'!W20+Lugano!U20+PrimaLoft!W20</f>
        <v>118527</v>
      </c>
      <c r="W15" s="457">
        <f t="shared" si="2"/>
        <v>121470</v>
      </c>
      <c r="X15" s="653">
        <f>Corporate!V13+Corporate!V17+'Arnold Magnetic'!Y20+'Sterno Group'!Y21+'5.11 Tactical'!Y20+'Velocity Outdoor'!Y20+'Altor Solutions'!Y21+'BOA Technology'!Y20+Lugano!W20+PrimaLoft!Y20+1</f>
        <v>239997</v>
      </c>
      <c r="Y15" s="457">
        <f t="shared" si="2"/>
        <v>121185</v>
      </c>
      <c r="Z15" s="451">
        <f>Corporate!X13+Corporate!X17+'Arnold Magnetic'!AA20+'Sterno Group'!AA21+'5.11 Tactical'!AA20+'Velocity Outdoor'!AA20+'Altor Solutions'!AA21+'BOA Technology'!AA20+Lugano!Y20+PrimaLoft!AA20+2</f>
        <v>361182</v>
      </c>
      <c r="AA15" s="457">
        <f t="shared" si="2"/>
        <v>140831.44199999992</v>
      </c>
      <c r="AB15" s="343">
        <f>Corporate!Z13+'Arnold Magnetic'!AC20+'Sterno Group'!AC21+'5.11 Tactical'!AC20+'Velocity Outdoor'!AC20+'Altor Solutions'!AC21+'BOA Technology'!AC20+Lugano!AA20+PrimaLoft!AC20+1</f>
        <v>502013.44199999992</v>
      </c>
      <c r="AC15" s="39"/>
      <c r="AD15" s="489">
        <f>Corporate!AB13+'Arnold Magnetic'!AE20+'Sterno Group'!AE21+'5.11 Tactical'!AE20+'Velocity Outdoor'!AE20+'Altor Solutions'!AE21+'BOA Technology'!AE20+Lugano!AC20</f>
        <v>97082</v>
      </c>
      <c r="AE15" s="457">
        <f t="shared" si="3"/>
        <v>102656.21453</v>
      </c>
      <c r="AF15" s="457">
        <f>Corporate!AD13+'Arnold Magnetic'!AG20+'Sterno Group'!AG21+'5.11 Tactical'!AG20+'Velocity Outdoor'!AG20+'Altor Solutions'!AG21+'BOA Technology'!AG20+Lugano!AE20+Corporate!AD17</f>
        <v>199738.21453</v>
      </c>
      <c r="AG15" s="457">
        <f t="shared" si="4"/>
        <v>119360.78547</v>
      </c>
      <c r="AH15" s="457">
        <f>Corporate!AF13+'Arnold Magnetic'!AI20+'Sterno Group'!AI21+'5.11 Tactical'!AI20+'Velocity Outdoor'!AI20+'Altor Solutions'!AI21+'BOA Technology'!AI20+Lugano!AG20+Corporate!AF17+PrimaLoft!AF20-2</f>
        <v>319099</v>
      </c>
      <c r="AI15" s="457">
        <f t="shared" si="4"/>
        <v>122529</v>
      </c>
      <c r="AJ15" s="343">
        <f>Corporate!AH13+'Arnold Magnetic'!AK20+'Sterno Group'!AK21+'5.11 Tactical'!AK20+'Velocity Outdoor'!AK20+'Altor Solutions'!AK21+'BOA Technology'!AK20+Lugano!AI20+Corporate!AH17+PrimaLoft!AH20-1</f>
        <v>441628</v>
      </c>
      <c r="AK15" s="39"/>
    </row>
    <row r="16" spans="1:37" x14ac:dyDescent="0.25">
      <c r="A16" s="6" t="s">
        <v>14</v>
      </c>
      <c r="B16" s="6"/>
      <c r="C16" s="6"/>
      <c r="D16" s="755">
        <f>Corporate!B14+'Arnold Magnetic'!E21+'Sterno Group'!E22+'5.11 Tactical'!E21+'Velocity Outdoor'!E21+'Altor Solutions'!E22+'BOA Technology'!E21+PrimaLoft!E21+THP!E21</f>
        <v>15933.5</v>
      </c>
      <c r="E16" s="36"/>
      <c r="F16" s="643">
        <f>Corporate!D14+'Arnold Magnetic'!G21+'Sterno Group'!G22+'5.11 Tactical'!G21+'Velocity Outdoor'!G21+'Altor Solutions'!G22+'BOA Technology'!G21+Lugano!E21+PrimaLoft!G21+THP!G21</f>
        <v>18863</v>
      </c>
      <c r="G16" s="586">
        <f>Corporate!E14+'Arnold Magnetic'!H21+'Sterno Group'!H22+'5.11 Tactical'!H21+'Velocity Outdoor'!H21+'Altor Solutions'!H22+'BOA Technology'!H21+Lugano!F21+PrimaLoft!H21+THP!H21</f>
        <v>19035.499</v>
      </c>
      <c r="H16" s="586">
        <f>Corporate!F14+'Arnold Magnetic'!I21+'Sterno Group'!I22+'5.11 Tactical'!I21+'Velocity Outdoor'!I21+'Altor Solutions'!I22+'BOA Technology'!I21+Lugano!G21+PrimaLoft!I21+THP!I21</f>
        <v>37898.499000000003</v>
      </c>
      <c r="I16" s="457">
        <f>Corporate!G14+'Arnold Magnetic'!J21+'Sterno Group'!J22+'5.11 Tactical'!J21+'Velocity Outdoor'!J21+'Altor Solutions'!J22+'BOA Technology'!J21+Lugano!H21+PrimaLoft!J21+THP!J21+1</f>
        <v>16213.497000000001</v>
      </c>
      <c r="J16" s="457">
        <f>Corporate!H14+'Arnold Magnetic'!K21+'Sterno Group'!K22+'5.11 Tactical'!K21+'Velocity Outdoor'!K21+'Altor Solutions'!K22+'BOA Technology'!K21+Lugano!I21+PrimaLoft!K21+THP!K21</f>
        <v>54110.995999999999</v>
      </c>
      <c r="K16" s="586">
        <f t="shared" si="0"/>
        <v>-36173.498999999996</v>
      </c>
      <c r="L16" s="343">
        <f>Corporate!J14+'Arnold Magnetic'!M21+'Sterno Group'!M22+'5.11 Tactical'!M21+'Velocity Outdoor'!M21+'Altor Solutions'!M22+'BOA Technology'!M21+Lugano!K21+PrimaLoft!M21+THP!M21</f>
        <v>17937.496999999999</v>
      </c>
      <c r="M16" s="39"/>
      <c r="N16" s="489">
        <f>Corporate!L14+'Arnold Magnetic'!O21+'Sterno Group'!O22+'5.11 Tactical'!O21+'Velocity Outdoor'!O21+'Altor Solutions'!O22+'BOA Technology'!O21+Lugano!M21+PrimaLoft!O21+THP!O21-1</f>
        <v>17942</v>
      </c>
      <c r="O16" s="457">
        <f>Corporate!M14+'Arnold Magnetic'!P21+'Sterno Group'!P22+'5.11 Tactical'!P21+'Velocity Outdoor'!P21+'Altor Solutions'!P22+'BOA Technology'!P21+Lugano!N21+PrimaLoft!P21+THP!P21+1</f>
        <v>18739</v>
      </c>
      <c r="P16" s="457">
        <f>Corporate!N14+'Arnold Magnetic'!Q21+'Sterno Group'!Q22+'5.11 Tactical'!Q21+'Velocity Outdoor'!Q21+'Altor Solutions'!Q22+'BOA Technology'!Q21+Lugano!O21+PrimaLoft!Q21+THP!Q21</f>
        <v>36681</v>
      </c>
      <c r="Q16" s="457">
        <f>Corporate!O14+'Arnold Magnetic'!R21+'Sterno Group'!R22+'5.11 Tactical'!R21+'Velocity Outdoor'!R21+'Altor Solutions'!R22+'BOA Technology'!R21+Lugano!P21+PrimaLoft!R21+THP!R21-1</f>
        <v>18633</v>
      </c>
      <c r="R16" s="457">
        <f>Corporate!P14+'Arnold Magnetic'!S21+'Sterno Group'!S22+'5.11 Tactical'!S21+'Velocity Outdoor'!S21+'Altor Solutions'!S22+'BOA Technology'!S21+Lugano!Q21+PrimaLoft!S21+THP!S21-1</f>
        <v>55314</v>
      </c>
      <c r="S16" s="457">
        <f t="shared" si="1"/>
        <v>19453</v>
      </c>
      <c r="T16" s="343">
        <f>Corporate!R14+'Arnold Magnetic'!U21+'Sterno Group'!U22+'5.11 Tactical'!U21+'Velocity Outdoor'!U21+'Altor Solutions'!U22+'BOA Technology'!U21+Lugano!S21+PrimaLoft!U21+THP!U21-1</f>
        <v>74767</v>
      </c>
      <c r="U16" s="39"/>
      <c r="V16" s="489">
        <f>Corporate!T14+'Arnold Magnetic'!W21+'Sterno Group'!W22+'5.11 Tactical'!W21+'Velocity Outdoor'!W21+'Altor Solutions'!W22+'BOA Technology'!W21+Lugano!U21+PrimaLoft!W21-1</f>
        <v>16145</v>
      </c>
      <c r="W16" s="457">
        <f t="shared" si="2"/>
        <v>16670</v>
      </c>
      <c r="X16" s="451">
        <f>Corporate!V14+'Arnold Magnetic'!Y21+'Sterno Group'!Y22+'5.11 Tactical'!Y21+'Velocity Outdoor'!Y21+'Altor Solutions'!Y22+'BOA Technology'!Y21+Lugano!W21+PrimaLoft!Y21</f>
        <v>32815</v>
      </c>
      <c r="Y16" s="457">
        <f t="shared" si="2"/>
        <v>18346</v>
      </c>
      <c r="Z16" s="451">
        <f>Corporate!X14+'Arnold Magnetic'!AA21+'Sterno Group'!AA22+'5.11 Tactical'!AA21+'Velocity Outdoor'!AA21+'Altor Solutions'!AA22+'BOA Technology'!AA21+Lugano!Y21+PrimaLoft!AA21-1</f>
        <v>51161</v>
      </c>
      <c r="AA16" s="457">
        <f t="shared" si="2"/>
        <v>16784</v>
      </c>
      <c r="AB16" s="343">
        <f>Corporate!Z14+'Arnold Magnetic'!AC21+'Sterno Group'!AC22+'5.11 Tactical'!AC21+'Velocity Outdoor'!AC21+'Altor Solutions'!AC22+'BOA Technology'!AC21+Lugano!AA21+PrimaLoft!AC21</f>
        <v>67945</v>
      </c>
      <c r="AC16" s="39"/>
      <c r="AD16" s="489">
        <f>Corporate!AB14+'Arnold Magnetic'!AE21+'Sterno Group'!AE22+'5.11 Tactical'!AE21+'Velocity Outdoor'!AE21+'Altor Solutions'!AE22+'BOA Technology'!AE21+Lugano!AC21</f>
        <v>14186</v>
      </c>
      <c r="AE16" s="457">
        <f t="shared" si="3"/>
        <v>14651</v>
      </c>
      <c r="AF16" s="457">
        <f>Corporate!AD14+'Arnold Magnetic'!AG21+'Sterno Group'!AG22+'5.11 Tactical'!AG21+'Velocity Outdoor'!AG21+'Altor Solutions'!AG22+'BOA Technology'!AG21+Lugano!AE21</f>
        <v>28837</v>
      </c>
      <c r="AG16" s="457">
        <f t="shared" si="4"/>
        <v>16342</v>
      </c>
      <c r="AH16" s="457">
        <f>Corporate!AF14+'Arnold Magnetic'!AI21+'Sterno Group'!AI22+'5.11 Tactical'!AI21+'Velocity Outdoor'!AI21+'Altor Solutions'!AI22+'BOA Technology'!AI21+Lugano!AG21+PrimaLoft!AF21-1</f>
        <v>45179</v>
      </c>
      <c r="AI16" s="457">
        <f t="shared" si="4"/>
        <v>16925</v>
      </c>
      <c r="AJ16" s="343">
        <f>Corporate!AH14+'Arnold Magnetic'!AK21+'Sterno Group'!AK22+'5.11 Tactical'!AK21+'Velocity Outdoor'!AK21+'Altor Solutions'!AK22+'BOA Technology'!AK21+Lugano!AI21+PrimaLoft!AH21</f>
        <v>62104</v>
      </c>
      <c r="AK16" s="39"/>
    </row>
    <row r="17" spans="1:82" x14ac:dyDescent="0.25">
      <c r="A17" s="6" t="s">
        <v>15</v>
      </c>
      <c r="B17" s="6"/>
      <c r="C17" s="6"/>
      <c r="D17" s="755">
        <f>Corporate!B15+'Arnold Magnetic'!E22+'Sterno Group'!E23+'5.11 Tactical'!E22+'Velocity Outdoor'!E22+'Altor Solutions'!E23+'BOA Technology'!E22+PrimaLoft!E22+THP!E22</f>
        <v>22843.591999999997</v>
      </c>
      <c r="E17" s="36"/>
      <c r="F17" s="643">
        <f>Corporate!D15+'Arnold Magnetic'!G22+'Sterno Group'!G23+'5.11 Tactical'!G22+'Velocity Outdoor'!G22+'Altor Solutions'!G23+'BOA Technology'!G22+Lugano!E22+PrimaLoft!G22+THP!G22</f>
        <v>23350.735999999997</v>
      </c>
      <c r="G17" s="586">
        <f>Corporate!E15+'Arnold Magnetic'!H22+'Sterno Group'!H23+'5.11 Tactical'!H22+'Velocity Outdoor'!H22+'Altor Solutions'!H23+'BOA Technology'!H22+Lugano!F22+PrimaLoft!H22+THP!H22</f>
        <v>23117.449000000001</v>
      </c>
      <c r="H17" s="586">
        <f>Corporate!F15+'Arnold Magnetic'!I22+'Sterno Group'!I23+'5.11 Tactical'!I22+'Velocity Outdoor'!I22+'Altor Solutions'!I23+'BOA Technology'!I22+Lugano!G22+PrimaLoft!I22+THP!I22+1</f>
        <v>46469.184999999998</v>
      </c>
      <c r="I17" s="457">
        <f>Corporate!G15+'Arnold Magnetic'!J22+'Sterno Group'!J23+'5.11 Tactical'!J22+'Velocity Outdoor'!J22+'Altor Solutions'!J23+'BOA Technology'!J22+Lugano!H22+PrimaLoft!J22+THP!J22</f>
        <v>23254.254000000001</v>
      </c>
      <c r="J17" s="457">
        <f>Corporate!H15+'Arnold Magnetic'!K22+'Sterno Group'!K23+'5.11 Tactical'!K22+'Velocity Outdoor'!K22+'Altor Solutions'!K23+'BOA Technology'!K22+Lugano!I22+PrimaLoft!K22+THP!K22</f>
        <v>69722.438999999998</v>
      </c>
      <c r="K17" s="586">
        <f>L17-J17</f>
        <v>23433.822999999989</v>
      </c>
      <c r="L17" s="343">
        <f>Corporate!J15+'Arnold Magnetic'!M22+'Sterno Group'!M23+'5.11 Tactical'!M22+'Velocity Outdoor'!M22+'Altor Solutions'!M23+'BOA Technology'!M22+Lugano!K22+PrimaLoft!M22+THP!M22</f>
        <v>93156.261999999988</v>
      </c>
      <c r="M17" s="39"/>
      <c r="N17" s="489">
        <f>Corporate!L15+'Arnold Magnetic'!O22+'Sterno Group'!O23+'5.11 Tactical'!O22+'Velocity Outdoor'!O22+'Altor Solutions'!O23+'BOA Technology'!O22+Lugano!M22+PrimaLoft!O22+THP!O22</f>
        <v>23210.767</v>
      </c>
      <c r="O17" s="457">
        <f>Corporate!M15+'Arnold Magnetic'!P22+'Sterno Group'!P23+'5.11 Tactical'!P22+'Velocity Outdoor'!P22+'Altor Solutions'!P23+'BOA Technology'!P22+Lugano!N22+PrimaLoft!P22+THP!P22</f>
        <v>24384.766</v>
      </c>
      <c r="P17" s="457">
        <f>Corporate!N15+'Arnold Magnetic'!Q22+'Sterno Group'!Q23+'5.11 Tactical'!Q22+'Velocity Outdoor'!Q22+'Altor Solutions'!Q23+'BOA Technology'!Q22+Lugano!O22+PrimaLoft!Q22+THP!Q22</f>
        <v>47595.532999999996</v>
      </c>
      <c r="Q17" s="457">
        <f>Corporate!O15+'Arnold Magnetic'!R22+'Sterno Group'!R23+'5.11 Tactical'!R22+'Velocity Outdoor'!R22+'Altor Solutions'!R23+'BOA Technology'!R22+Lugano!P22+PrimaLoft!R22+THP!R22+2</f>
        <v>23721.468999999997</v>
      </c>
      <c r="R17" s="457">
        <f>Corporate!P15+'Arnold Magnetic'!S22+'Sterno Group'!S23+'5.11 Tactical'!S22+'Velocity Outdoor'!S22+'Altor Solutions'!S23+'BOA Technology'!S22+Lugano!Q22+PrimaLoft!S22+THP!S22+2</f>
        <v>71318.002000000008</v>
      </c>
      <c r="S17" s="457">
        <f t="shared" si="1"/>
        <v>23498.759999999995</v>
      </c>
      <c r="T17" s="343">
        <f>Corporate!R15+'Arnold Magnetic'!U22+'Sterno Group'!U23+'5.11 Tactical'!U22+'Velocity Outdoor'!U22+'Altor Solutions'!U23+'BOA Technology'!U22+Lugano!S22+PrimaLoft!U22+THP!U22+2</f>
        <v>94816.762000000002</v>
      </c>
      <c r="U17" s="39"/>
      <c r="V17" s="489">
        <f>Corporate!T15+'Arnold Magnetic'!W22+'Sterno Group'!W23+'5.11 Tactical'!W22+'Velocity Outdoor'!W22+'Altor Solutions'!W23+'BOA Technology'!W22+Lugano!U22+PrimaLoft!W22</f>
        <v>20902.277000000002</v>
      </c>
      <c r="W17" s="457">
        <f>X17-V17+1</f>
        <v>20905.274999999994</v>
      </c>
      <c r="X17" s="451">
        <f>Corporate!V15+'Arnold Magnetic'!Y22+'Sterno Group'!Y23+'5.11 Tactical'!Y22+'Velocity Outdoor'!Y22+'Altor Solutions'!Y23+'BOA Technology'!Y22+Lugano!W22+PrimaLoft!Y22-1</f>
        <v>41806.551999999996</v>
      </c>
      <c r="Y17" s="457">
        <f t="shared" si="2"/>
        <v>20885.277000000002</v>
      </c>
      <c r="Z17" s="451">
        <f>Corporate!X15+'Arnold Magnetic'!AA22+'Sterno Group'!AA23+'5.11 Tactical'!AA22+'Velocity Outdoor'!AA22+'Altor Solutions'!AA23+'BOA Technology'!AA22+Lugano!Y22+PrimaLoft!AA22</f>
        <v>62691.828999999998</v>
      </c>
      <c r="AA17" s="457">
        <f t="shared" si="2"/>
        <v>20882.464000000007</v>
      </c>
      <c r="AB17" s="343">
        <f>Corporate!Z15+'Arnold Magnetic'!AC22+'Sterno Group'!AC23+'5.11 Tactical'!AC22+'Velocity Outdoor'!AC22+'Altor Solutions'!AC23+'BOA Technology'!AC22+Lugano!AA22+PrimaLoft!AC22</f>
        <v>83574.293000000005</v>
      </c>
      <c r="AC17" s="39"/>
      <c r="AD17" s="489">
        <f>Corporate!AB15+'Arnold Magnetic'!AE22+'Sterno Group'!AE23+'5.11 Tactical'!AE22+'Velocity Outdoor'!AE22+'Altor Solutions'!AE23+'BOA Technology'!AE22+Lugano!AC22</f>
        <v>15951.65</v>
      </c>
      <c r="AE17" s="457">
        <f t="shared" si="3"/>
        <v>15676.849</v>
      </c>
      <c r="AF17" s="457">
        <f>Corporate!AD15+'Arnold Magnetic'!AG22+'Sterno Group'!AG23+'5.11 Tactical'!AG22+'Velocity Outdoor'!AG22+'Altor Solutions'!AG23++'BOA Technology'!AG22+Lugano!AE22</f>
        <v>31628.499</v>
      </c>
      <c r="AG17" s="457">
        <f t="shared" si="4"/>
        <v>19171.501</v>
      </c>
      <c r="AH17" s="457">
        <f>Corporate!AF15+'Arnold Magnetic'!AI22+'Sterno Group'!AI23+'5.11 Tactical'!AI22+'Velocity Outdoor'!AI22+'Altor Solutions'!AI23+'BOA Technology'!AI22+Lugano!AG22+PrimaLoft!AF22</f>
        <v>50800</v>
      </c>
      <c r="AI17" s="457">
        <f t="shared" si="4"/>
        <v>21852.599000000002</v>
      </c>
      <c r="AJ17" s="343">
        <f>Corporate!AH15+'Arnold Magnetic'!AK22+'Sterno Group'!AK23+'5.11 Tactical'!AK22+'Velocity Outdoor'!AK22+'Altor Solutions'!AK23+'BOA Technology'!AK22+Lugano!AI22+PrimaLoft!AH22</f>
        <v>72652.599000000002</v>
      </c>
      <c r="AK17" s="39"/>
    </row>
    <row r="18" spans="1:82" s="163" customFormat="1" ht="17.25" x14ac:dyDescent="0.4">
      <c r="A18" s="6" t="s">
        <v>16</v>
      </c>
      <c r="B18" s="35"/>
      <c r="C18" s="35"/>
      <c r="D18" s="756">
        <f>Corporate!B16+'Arnold Magnetic'!E23+'Sterno Group'!E24+'5.11 Tactical'!E23+'Velocity Outdoor'!E23+'Altor Solutions'!E24+'BOA Technology'!E23+PrimaLoft!E23+THP!E23</f>
        <v>20500</v>
      </c>
      <c r="E18" s="192"/>
      <c r="F18" s="673">
        <f>Corporate!D16+'Arnold Magnetic'!G23+'Sterno Group'!G24+'5.11 Tactical'!G23+'Velocity Outdoor'!G23+'Altor Solutions'!G24+'BOA Technology'!G23+Lugano!E23+PrimaLoft!G23</f>
        <v>0</v>
      </c>
      <c r="G18" s="674">
        <f>Corporate!E16+'Arnold Magnetic'!H23+'Sterno Group'!H24+'5.11 Tactical'!H23+'Velocity Outdoor'!H23+'Altor Solutions'!H24+'BOA Technology'!H23+Lugano!F23+PrimaLoft!H23</f>
        <v>31514.762999999999</v>
      </c>
      <c r="H18" s="674">
        <f>Corporate!F16+'Arnold Magnetic'!I23+'Sterno Group'!I24+'5.11 Tactical'!I23+'Velocity Outdoor'!I23+'Altor Solutions'!I24+'BOA Technology'!I23+Lugano!G23+PrimaLoft!I23</f>
        <v>31514.762999999999</v>
      </c>
      <c r="I18" s="763">
        <f>Corporate!G16+'Arnold Magnetic'!J23+'Sterno Group'!J24+'5.11 Tactical'!J23+'Velocity Outdoor'!J23+'Altor Solutions'!J24+'BOA Technology'!J23+Lugano!H23+PrimaLoft!J23</f>
        <v>0</v>
      </c>
      <c r="J18" s="763">
        <f>Corporate!H16+'Arnold Magnetic'!K23+'Sterno Group'!K24+'5.11 Tactical'!K23+'Velocity Outdoor'!K23+'Altor Solutions'!K24+'BOA Technology'!K23+Lugano!I23+PrimaLoft!K23</f>
        <v>31514.762999999999</v>
      </c>
      <c r="K18" s="674">
        <f t="shared" si="0"/>
        <v>0</v>
      </c>
      <c r="L18" s="764">
        <f>Corporate!J16+'Arnold Magnetic'!M23+'Sterno Group'!M24+'5.11 Tactical'!M23+'Velocity Outdoor'!M23+'Altor Solutions'!M24+'BOA Technology'!M23+Lugano!K23+PrimaLoft!M23</f>
        <v>31514.762999999999</v>
      </c>
      <c r="M18" s="39"/>
      <c r="N18" s="762">
        <f>Corporate!L16+'Arnold Magnetic'!O23+'Sterno Group'!O24+'5.11 Tactical'!O23+'Velocity Outdoor'!O23+'Altor Solutions'!O24+'BOA Technology'!O23+Lugano!M23+PrimaLoft!O23</f>
        <v>8182</v>
      </c>
      <c r="O18" s="763">
        <f>Corporate!M16+'Arnold Magnetic'!P23+'Sterno Group'!P24+'5.11 Tactical'!P23+'Velocity Outdoor'!P23+'Altor Solutions'!P24+'BOA Technology'!P23+Lugano!N23+PrimaLoft!P23</f>
        <v>0</v>
      </c>
      <c r="P18" s="763">
        <f>Corporate!N16+'Arnold Magnetic'!Q23+'Sterno Group'!Q24+'5.11 Tactical'!Q23+'Velocity Outdoor'!Q23+'Altor Solutions'!Q24+'BOA Technology'!Q23+Lugano!O23+PrimaLoft!Q23</f>
        <v>8182</v>
      </c>
      <c r="Q18" s="763">
        <f>Corporate!O16+'Arnold Magnetic'!R23+'Sterno Group'!R24+'5.11 Tactical'!R23+'Velocity Outdoor'!R23+'Altor Solutions'!R24+'BOA Technology'!R23+Lugano!P23+PrimaLoft!R23</f>
        <v>0</v>
      </c>
      <c r="R18" s="763">
        <f>Corporate!P16+'Arnold Magnetic'!S23+'Sterno Group'!S24+'5.11 Tactical'!S23+'Velocity Outdoor'!S23+'Altor Solutions'!S24+'BOA Technology'!S23+Lugano!Q23+PrimaLoft!S23</f>
        <v>8182</v>
      </c>
      <c r="S18" s="763">
        <f t="shared" si="1"/>
        <v>0</v>
      </c>
      <c r="T18" s="764">
        <f>Corporate!R16+'Arnold Magnetic'!U23+'Sterno Group'!U24+'5.11 Tactical'!U23+'Velocity Outdoor'!U23+'Altor Solutions'!U24+'BOA Technology'!U23+Lugano!S23+PrimaLoft!U23</f>
        <v>8182</v>
      </c>
      <c r="U18" s="39"/>
      <c r="V18" s="762">
        <f>Corporate!T16+'Arnold Magnetic'!W23+'Sterno Group'!W24+'5.11 Tactical'!W23+'Velocity Outdoor'!W23+'Altor Solutions'!W24+'BOA Technology'!W23+Lugano!U23+PrimaLoft!W23</f>
        <v>0</v>
      </c>
      <c r="W18" s="763">
        <f t="shared" si="2"/>
        <v>0</v>
      </c>
      <c r="X18" s="763">
        <v>0</v>
      </c>
      <c r="Y18" s="763">
        <f>Z18-X18</f>
        <v>32568</v>
      </c>
      <c r="Z18" s="785">
        <f>'Velocity Outdoor'!AA23</f>
        <v>32568</v>
      </c>
      <c r="AA18" s="763">
        <f>AB18-Z18</f>
        <v>58029.198999999993</v>
      </c>
      <c r="AB18" s="764">
        <f>'Velocity Outdoor'!AC23+PrimaLoft!AC23+Lugano!AA23</f>
        <v>90597.198999999993</v>
      </c>
      <c r="AC18" s="39"/>
      <c r="AD18" s="490">
        <f>Corporate!AB16+'Arnold Magnetic'!AE23+'Sterno Group'!AE24+'5.11 Tactical'!AE23+'Velocity Outdoor'!AE23+'Altor Solutions'!AE24+'BOA Technology'!AE23+Lugano!AC23</f>
        <v>2879.1640000000002</v>
      </c>
      <c r="AE18" s="458">
        <f t="shared" si="3"/>
        <v>0</v>
      </c>
      <c r="AF18" s="458">
        <f>Corporate!AD16+'Arnold Magnetic'!AG23+'Sterno Group'!AG24+'5.11 Tactical'!AG23+'Velocity Outdoor'!AG23+'Altor Solutions'!AG24+'BOA Technology'!AG23+Lugano!AE23</f>
        <v>2879.1640000000002</v>
      </c>
      <c r="AG18" s="458">
        <f t="shared" si="4"/>
        <v>0</v>
      </c>
      <c r="AH18" s="458">
        <f>Corporate!AF16+'Arnold Magnetic'!AI23+'Sterno Group'!AI24+'5.11 Tactical'!AI23+'Velocity Outdoor'!AI23+'Altor Solutions'!AI24+'BOA Technology'!AI23+Lugano!AG23</f>
        <v>2879.1640000000002</v>
      </c>
      <c r="AI18" s="458">
        <f t="shared" si="4"/>
        <v>25722.972999999998</v>
      </c>
      <c r="AJ18" s="344">
        <f>Corporate!AH16+'Arnold Magnetic'!AK23+'Sterno Group'!AK24+'5.11 Tactical'!AK23+'Velocity Outdoor'!AK23+'Altor Solutions'!AK24+'BOA Technology'!AK23+Lugano!AI23</f>
        <v>28602.136999999999</v>
      </c>
      <c r="AK18" s="39"/>
    </row>
    <row r="19" spans="1:82" s="14" customFormat="1" x14ac:dyDescent="0.25">
      <c r="A19" s="12" t="s">
        <v>17</v>
      </c>
      <c r="B19" s="26"/>
      <c r="C19" s="26"/>
      <c r="D19" s="753">
        <f>Corporate!B18+'Arnold Magnetic'!E24+'Sterno Group'!E25+'5.11 Tactical'!E24+'Velocity Outdoor'!E24+'Altor Solutions'!E25+'BOA Technology'!E24+PrimaLoft!E24+THP!E24</f>
        <v>-1929.7149999999911</v>
      </c>
      <c r="E19" s="39"/>
      <c r="F19" s="697">
        <f>Corporate!D18+'Arnold Magnetic'!G24+'Sterno Group'!G25+'5.11 Tactical'!G24+'Velocity Outdoor'!G24+'Altor Solutions'!G25+'BOA Technology'!G24+Lugano!E24+PrimaLoft!G24+THP!G24</f>
        <v>3441.206000000011</v>
      </c>
      <c r="G19" s="653">
        <f>Corporate!E18+'Arnold Magnetic'!H24+'Sterno Group'!H25+'5.11 Tactical'!H24+'Velocity Outdoor'!H24+'Altor Solutions'!H25+'BOA Technology'!H24+Lugano!F24+PrimaLoft!H24+THP!H24+2</f>
        <v>-27237.55966000001</v>
      </c>
      <c r="H19" s="653">
        <f>Corporate!F18+'Arnold Magnetic'!I24+'Sterno Group'!I25+'5.11 Tactical'!I24+'Velocity Outdoor'!I24+'Altor Solutions'!I25+'BOA Technology'!I24+Lugano!G24+PrimaLoft!I24+THP!I24+1</f>
        <v>-23797.353659999993</v>
      </c>
      <c r="I19" s="451">
        <f>Corporate!G18+'Arnold Magnetic'!J24+'Sterno Group'!J25+'5.11 Tactical'!J24+'Velocity Outdoor'!J24+'Altor Solutions'!J25+'BOA Technology'!J24+Lugano!H24+PrimaLoft!J24+THP!J24-2</f>
        <v>-11067.399999999989</v>
      </c>
      <c r="J19" s="451">
        <f>Corporate!H18+'Arnold Magnetic'!K24+'Sterno Group'!K25+'5.11 Tactical'!K24+'Velocity Outdoor'!K24+'Altor Solutions'!K25+'BOA Technology'!K24+Lugano!I24+PrimaLoft!K24+THP!K24</f>
        <v>-34863.753660000017</v>
      </c>
      <c r="K19" s="653">
        <f t="shared" si="0"/>
        <v>45973.920999999973</v>
      </c>
      <c r="L19" s="341">
        <f>Corporate!J18+'Arnold Magnetic'!M24+'Sterno Group'!M25+'5.11 Tactical'!M24+'Velocity Outdoor'!M24+'Altor Solutions'!M25+'BOA Technology'!M24+Lugano!K24+PrimaLoft!M24+THP!M24+1</f>
        <v>11110.167339999956</v>
      </c>
      <c r="M19" s="39"/>
      <c r="N19" s="439">
        <f>Corporate!L18+'Arnold Magnetic'!O24+'Sterno Group'!O25+'5.11 Tactical'!O24+'Velocity Outdoor'!O24+'Altor Solutions'!O25+'BOA Technology'!O24+Lugano!M24+PrimaLoft!O24+THP!O24+2</f>
        <v>-12106.925999999999</v>
      </c>
      <c r="O19" s="451">
        <f>Corporate!M18+'Arnold Magnetic'!P24+'Sterno Group'!P25+'5.11 Tactical'!P24+'Velocity Outdoor'!P24+'Altor Solutions'!P25+'BOA Technology'!P24+Lugano!N24+PrimaLoft!P24+THP!P24-1</f>
        <v>7479.7439999999988</v>
      </c>
      <c r="P19" s="451">
        <f>Corporate!N18+'Arnold Magnetic'!Q24+'Sterno Group'!Q25+'5.11 Tactical'!Q24+'Velocity Outdoor'!Q24+'Altor Solutions'!Q25+'BOA Technology'!Q24+Lugano!O24+PrimaLoft!Q24+THP!Q24-1</f>
        <v>-4627.1820000000007</v>
      </c>
      <c r="Q19" s="451">
        <f>Corporate!O18+'Arnold Magnetic'!R24+'Sterno Group'!R25+'5.11 Tactical'!R24+'Velocity Outdoor'!R24+'Altor Solutions'!R25+'BOA Technology'!R24+Lugano!P24+PrimaLoft!R24+THP!R24+1</f>
        <v>8320.2570000000014</v>
      </c>
      <c r="R19" s="451">
        <f>Corporate!P18+'Arnold Magnetic'!S24+'Sterno Group'!S25+'5.11 Tactical'!S24+'Velocity Outdoor'!S24+'Altor Solutions'!S25+'BOA Technology'!S24+Lugano!Q24+PrimaLoft!S24+THP!S24</f>
        <v>3693.0750000000116</v>
      </c>
      <c r="S19" s="451">
        <f t="shared" si="1"/>
        <v>-18560.905000000006</v>
      </c>
      <c r="T19" s="341">
        <f>Corporate!R18+'Arnold Magnetic'!U24+'Sterno Group'!U25+'5.11 Tactical'!U24+'Velocity Outdoor'!U24+'Altor Solutions'!U25+'BOA Technology'!U24+Lugano!S24+PrimaLoft!U24+THP!U24-3</f>
        <v>-14867.829999999994</v>
      </c>
      <c r="U19" s="39"/>
      <c r="V19" s="439">
        <f>Corporate!T18+'Arnold Magnetic'!W24+'Sterno Group'!W25+'5.11 Tactical'!W24+'Velocity Outdoor'!W24+'Altor Solutions'!W25+'BOA Technology'!W24+Lugano!U24+PrimaLoft!W24</f>
        <v>4917.9920000000002</v>
      </c>
      <c r="W19" s="451">
        <f t="shared" si="2"/>
        <v>8570.5130000000008</v>
      </c>
      <c r="X19" s="451">
        <f>Corporate!V18+'Arnold Magnetic'!Y24+'Sterno Group'!Y25+'5.11 Tactical'!Y24+'Velocity Outdoor'!Y24+'Altor Solutions'!Y25+'BOA Technology'!Y24+Lugano!W24+PrimaLoft!Y24</f>
        <v>13488.505000000001</v>
      </c>
      <c r="Y19" s="451">
        <f t="shared" si="2"/>
        <v>-24927.937999999998</v>
      </c>
      <c r="Z19" s="451">
        <f>Corporate!X18+'Arnold Magnetic'!AA24+'Sterno Group'!AA25+'5.11 Tactical'!AA24+'Velocity Outdoor'!AA24+'Altor Solutions'!AA25+'BOA Technology'!AA24+Lugano!Y24+PrimaLoft!AA24-1</f>
        <v>-11439.432999999997</v>
      </c>
      <c r="AA19" s="451">
        <f t="shared" si="2"/>
        <v>-57969.976000000002</v>
      </c>
      <c r="AB19" s="341">
        <f>Corporate!Z18+'Arnold Magnetic'!AC24+'Sterno Group'!AC25+'5.11 Tactical'!AC24+'Velocity Outdoor'!AC24+'Altor Solutions'!AC25+'BOA Technology'!AC24+Lugano!AA24+PrimaLoft!AC24</f>
        <v>-69409.409</v>
      </c>
      <c r="AC19" s="39"/>
      <c r="AD19" s="439">
        <f>Corporate!AB18+'Arnold Magnetic'!AE24+'Sterno Group'!AE25+'5.11 Tactical'!AE24+'Velocity Outdoor'!AE24+'Altor Solutions'!AE25+'BOA Technology'!AE24+Lugano!AC24</f>
        <v>16382.917999999998</v>
      </c>
      <c r="AE19" s="451">
        <f t="shared" si="3"/>
        <v>32223.323459999992</v>
      </c>
      <c r="AF19" s="451">
        <f>Corporate!AD18+'Arnold Magnetic'!AG24+'Sterno Group'!AG25+'5.11 Tactical'!AG24+'Velocity Outdoor'!AG24+'Altor Solutions'!AG25+'BOA Technology'!AG24+Lugano!AE24+2</f>
        <v>48606.24145999999</v>
      </c>
      <c r="AG19" s="451">
        <f t="shared" si="4"/>
        <v>17984.294540000003</v>
      </c>
      <c r="AH19" s="451">
        <f>Corporate!AF18+'Arnold Magnetic'!AI24+'Sterno Group'!AI25+'5.11 Tactical'!AI24+'Velocity Outdoor'!AI24+'Altor Solutions'!AI25+'BOA Technology'!AI24+Lugano!AG24+PrimaLoft!AF24+2</f>
        <v>66590.535999999993</v>
      </c>
      <c r="AI19" s="451">
        <f t="shared" si="4"/>
        <v>-22146.182999999997</v>
      </c>
      <c r="AJ19" s="341">
        <f>Corporate!AH18+'Arnold Magnetic'!AK24+'Sterno Group'!AK25+'5.11 Tactical'!AK24+'Velocity Outdoor'!AK24+'Altor Solutions'!AK25+'BOA Technology'!AK24+Lugano!AI24+PrimaLoft!AH24+3</f>
        <v>44444.352999999996</v>
      </c>
      <c r="AK19" s="39"/>
    </row>
    <row r="20" spans="1:82" s="14" customFormat="1" x14ac:dyDescent="0.25">
      <c r="A20" s="12"/>
      <c r="B20" s="26"/>
      <c r="C20" s="26"/>
      <c r="D20" s="753"/>
      <c r="E20" s="39"/>
      <c r="F20" s="697"/>
      <c r="G20" s="653"/>
      <c r="H20" s="653"/>
      <c r="I20" s="451"/>
      <c r="J20" s="451"/>
      <c r="K20" s="653"/>
      <c r="L20" s="341"/>
      <c r="M20" s="39"/>
      <c r="N20" s="439"/>
      <c r="O20" s="451"/>
      <c r="P20" s="451"/>
      <c r="Q20" s="451"/>
      <c r="R20" s="451"/>
      <c r="S20" s="451"/>
      <c r="T20" s="341"/>
      <c r="U20" s="39"/>
      <c r="V20" s="439"/>
      <c r="W20" s="451"/>
      <c r="X20" s="451"/>
      <c r="Y20" s="451"/>
      <c r="Z20" s="451"/>
      <c r="AA20" s="451"/>
      <c r="AB20" s="341"/>
      <c r="AC20" s="39"/>
      <c r="AD20" s="439"/>
      <c r="AE20" s="451"/>
      <c r="AF20" s="451"/>
      <c r="AG20" s="451"/>
      <c r="AH20" s="451"/>
      <c r="AI20" s="451"/>
      <c r="AJ20" s="341"/>
      <c r="AK20" s="39"/>
    </row>
    <row r="21" spans="1:82" x14ac:dyDescent="0.25">
      <c r="A21" s="6" t="s">
        <v>19</v>
      </c>
      <c r="B21" s="6"/>
      <c r="C21" s="6"/>
      <c r="D21" s="755">
        <f>Corporate!B19+'Arnold Magnetic'!E26+'Sterno Group'!E27+'5.11 Tactical'!E26+'Velocity Outdoor'!E26+'Altor Solutions'!E27+'BOA Technology'!E26+PrimaLoft!E26+THP!E26</f>
        <v>27494.572</v>
      </c>
      <c r="E21" s="36"/>
      <c r="F21" s="643">
        <f>Corporate!D19+'Arnold Magnetic'!G26+'Sterno Group'!G27+'5.11 Tactical'!G26+'Velocity Outdoor'!G26+'Altor Solutions'!G27+'BOA Technology'!G26+Lugano!E26+PrimaLoft!G26+THP!G26</f>
        <v>35850.575999999994</v>
      </c>
      <c r="G21" s="586">
        <f>Corporate!E19+'Arnold Magnetic'!H26+'Sterno Group'!H27+'5.11 Tactical'!H26+'Velocity Outdoor'!H26+'Altor Solutions'!H27+'BOA Technology'!H26+Lugano!F26+PrimaLoft!H26+THP!H26</f>
        <v>34096.235000000001</v>
      </c>
      <c r="H21" s="586">
        <f>Corporate!F19+'Arnold Magnetic'!I26+'Sterno Group'!I27+'5.11 Tactical'!I26+'Velocity Outdoor'!I26+'Altor Solutions'!I27+'BOA Technology'!I26+Lugano!G26+PrimaLoft!I26+THP!I26</f>
        <v>69946.811000000002</v>
      </c>
      <c r="I21" s="457">
        <f>Corporate!G19+'Arnold Magnetic'!J26+'Sterno Group'!J27+'5.11 Tactical'!J26+'Velocity Outdoor'!J26+'Altor Solutions'!J27+'BOA Technology'!J26+Lugano!H26+PrimaLoft!J26+THP!J26</f>
        <v>66721.159999999989</v>
      </c>
      <c r="J21" s="457">
        <f>Corporate!H19+'Arnold Magnetic'!K26+'Sterno Group'!K27+'5.11 Tactical'!K26+'Velocity Outdoor'!K26+'Altor Solutions'!K27+'BOA Technology'!K26+Lugano!I26+PrimaLoft!K26+THP!K26</f>
        <v>136667.97099999999</v>
      </c>
      <c r="K21" s="586">
        <f>L21-J21</f>
        <v>38601.944000000047</v>
      </c>
      <c r="L21" s="343">
        <f>Corporate!J19+'Arnold Magnetic'!M26+'Sterno Group'!M27+'5.11 Tactical'!M26+'Velocity Outdoor'!M26+'Altor Solutions'!M27+'BOA Technology'!M26+Lugano!K26+PrimaLoft!M26+THP!M26</f>
        <v>175269.91500000004</v>
      </c>
      <c r="M21" s="39"/>
      <c r="N21" s="489">
        <f>Corporate!L19+'Arnold Magnetic'!O26+'Sterno Group'!O27+'5.11 Tactical'!O26+'Velocity Outdoor'!O26+'Altor Solutions'!O27+'BOA Technology'!O26+Lugano!M26+PrimaLoft!O26+THP!O26</f>
        <v>25267</v>
      </c>
      <c r="O21" s="457">
        <f>Corporate!M19+'Arnold Magnetic'!P26+'Sterno Group'!P27+'5.11 Tactical'!P26+'Velocity Outdoor'!P26+'Altor Solutions'!P27+'BOA Technology'!P26+Lugano!N26+PrimaLoft!P26+THP!P26</f>
        <v>29596</v>
      </c>
      <c r="P21" s="457">
        <f>Corporate!N19+'Arnold Magnetic'!Q26+'Sterno Group'!Q27+'5.11 Tactical'!Q26+'Velocity Outdoor'!Q26+'Altor Solutions'!Q27+'BOA Technology'!Q26+Lugano!O26+PrimaLoft!Q26+THP!Q26-1</f>
        <v>54863</v>
      </c>
      <c r="Q21" s="457">
        <f>Corporate!O19+'Arnold Magnetic'!R26+'Sterno Group'!R27+'5.11 Tactical'!R26+'Velocity Outdoor'!R26+'Altor Solutions'!R27+'BOA Technology'!R26+Lugano!P26+PrimaLoft!R26+THP!R26+2</f>
        <v>31620</v>
      </c>
      <c r="R21" s="457">
        <f>Corporate!P19+'Arnold Magnetic'!S26+'Sterno Group'!S27+'5.11 Tactical'!S26+'Velocity Outdoor'!S26+'Altor Solutions'!S27+'BOA Technology'!S26+Lugano!Q26+PrimaLoft!S26+THP!S26+2</f>
        <v>86483</v>
      </c>
      <c r="S21" s="457">
        <f>T21-R21</f>
        <v>36319.406000000003</v>
      </c>
      <c r="T21" s="343">
        <f>Corporate!R19+'Arnold Magnetic'!U26+'Sterno Group'!U27+'5.11 Tactical'!U26+'Velocity Outdoor'!U26+'Altor Solutions'!U27+'BOA Technology'!U26+Lugano!S26+PrimaLoft!U26+THP!U26</f>
        <v>122802.406</v>
      </c>
      <c r="U21" s="39"/>
      <c r="V21" s="489">
        <f>Corporate!T19+'Arnold Magnetic'!W26+'Sterno Group'!W27+'5.11 Tactical'!W26+'Velocity Outdoor'!W26+'Altor Solutions'!W27+'BOA Technology'!W26+Lugano!U26+PrimaLoft!W26+1</f>
        <v>26963</v>
      </c>
      <c r="W21" s="457">
        <f>X21-V21</f>
        <v>27717</v>
      </c>
      <c r="X21" s="584">
        <f>Corporate!V19+'Arnold Magnetic'!Y26+'Sterno Group'!Y27+'5.11 Tactical'!Y26+'Velocity Outdoor'!Y26+'Altor Solutions'!Y27+'BOA Technology'!Y26+Lugano!W26+PrimaLoft!Y26</f>
        <v>54680</v>
      </c>
      <c r="Y21" s="457">
        <f>Z21-X21</f>
        <v>28851</v>
      </c>
      <c r="Z21" s="584">
        <f>Corporate!X19+'Arnold Magnetic'!AA26+'Sterno Group'!AA27+'5.11 Tactical'!AA26+'Velocity Outdoor'!AA26+'Altor Solutions'!AA27+'BOA Technology'!AA26+Lugano!Y26+PrimaLoft!AA26</f>
        <v>83531</v>
      </c>
      <c r="AA21" s="457">
        <f>AB21-Z21</f>
        <v>26361.235000000015</v>
      </c>
      <c r="AB21" s="343">
        <f>Corporate!Z19+'Arnold Magnetic'!AC26+'Sterno Group'!AC27+'5.11 Tactical'!AC26+'Velocity Outdoor'!AC26+'Altor Solutions'!AC27+'BOA Technology'!AC26+Lugano!AA26+PrimaLoft!AC26+6</f>
        <v>109892.23500000002</v>
      </c>
      <c r="AC21" s="39"/>
      <c r="AD21" s="489">
        <f>Corporate!AB19+'Arnold Magnetic'!AE26+Ergobaby!U27+'Sterno Group'!AE27+'5.11 Tactical'!AE26+'Velocity Outdoor'!AE26+'Altor Solutions'!AE27+'Marucci Sports'!M24+'BOA Technology'!AE26+Lugano!AC26+'Advanced Circuits'!D35</f>
        <v>17863.814999999999</v>
      </c>
      <c r="AE21" s="457">
        <f>AF21-AD21</f>
        <v>17831.344000000001</v>
      </c>
      <c r="AF21" s="457">
        <f>Corporate!AD19+'Arnold Magnetic'!AG26+'Sterno Group'!AG27+'5.11 Tactical'!AG26+'Velocity Outdoor'!AG26+'Altor Solutions'!AG27+'BOA Technology'!AG26+Lugano!AE26+2</f>
        <v>35695.159</v>
      </c>
      <c r="AG21" s="457">
        <f>AH21-AF21</f>
        <v>23237.101999999999</v>
      </c>
      <c r="AH21" s="457">
        <f>Corporate!AF19+'Arnold Magnetic'!AI26+'Sterno Group'!AI27+'5.11 Tactical'!AI26+'Velocity Outdoor'!AI26+'Altor Solutions'!AI27+'BOA Technology'!AI26+Lugano!AG26+PrimaLoft!AF26+10</f>
        <v>58932.260999999999</v>
      </c>
      <c r="AI21" s="457">
        <f>AJ21-AH21</f>
        <v>26326.245999999999</v>
      </c>
      <c r="AJ21" s="595">
        <f>Corporate!AH19+'Arnold Magnetic'!AK26+'Sterno Group'!AK27+'5.11 Tactical'!AK26+'Velocity Outdoor'!AK26+'Altor Solutions'!AK27+'BOA Technology'!AK26+Lugano!AI26+PrimaLoft!AH26-1</f>
        <v>85258.506999999998</v>
      </c>
      <c r="AK21" s="39"/>
    </row>
    <row r="22" spans="1:82" x14ac:dyDescent="0.25">
      <c r="A22" s="6" t="s">
        <v>257</v>
      </c>
      <c r="B22" s="6"/>
      <c r="C22" s="6"/>
      <c r="D22" s="755">
        <f>Corporate!B21</f>
        <v>2047.1849999999999</v>
      </c>
      <c r="E22" s="36"/>
      <c r="F22" s="643">
        <f>Corporate!D21</f>
        <v>1124.5150000000001</v>
      </c>
      <c r="G22" s="586">
        <f>Corporate!E21-1</f>
        <v>970.63699999999994</v>
      </c>
      <c r="H22" s="586">
        <f>Corporate!F21</f>
        <v>2096.152</v>
      </c>
      <c r="I22" s="586">
        <f>Corporate!G21</f>
        <v>825.76099999999997</v>
      </c>
      <c r="J22" s="586">
        <f>Corporate!H21</f>
        <v>2921.913</v>
      </c>
      <c r="K22" s="586">
        <f>Corporate!I21</f>
        <v>1129.6869999999999</v>
      </c>
      <c r="L22" s="595">
        <f>Corporate!J21</f>
        <v>4051.6</v>
      </c>
      <c r="M22" s="39"/>
      <c r="N22" s="489">
        <f>Corporate!L21</f>
        <v>1004.616</v>
      </c>
      <c r="O22" s="457">
        <f>Corporate!M21-1</f>
        <v>1003.616</v>
      </c>
      <c r="P22" s="457">
        <f>Corporate!N21</f>
        <v>2009.232</v>
      </c>
      <c r="Q22" s="457">
        <f>Corporate!O21</f>
        <v>1004.616</v>
      </c>
      <c r="R22" s="457">
        <f>Corporate!P21</f>
        <v>3013.848</v>
      </c>
      <c r="S22" s="457">
        <f>Corporate!Q21</f>
        <v>1004.616</v>
      </c>
      <c r="T22" s="343">
        <f>Corporate!R21</f>
        <v>4018.4639999999999</v>
      </c>
      <c r="U22" s="39"/>
      <c r="V22" s="489">
        <f>Corporate!T21</f>
        <v>1004.616</v>
      </c>
      <c r="W22" s="457">
        <f>Corporate!U21-1</f>
        <v>1023.6199999999999</v>
      </c>
      <c r="X22" s="457">
        <f>Corporate!V21</f>
        <v>2029.2360000000001</v>
      </c>
      <c r="Y22" s="457">
        <f>Corporate!W21</f>
        <v>1004.616</v>
      </c>
      <c r="Z22" s="457">
        <f>Corporate!X21</f>
        <v>3033.8519999999999</v>
      </c>
      <c r="AA22" s="457">
        <f>Corporate!Y21</f>
        <v>1004.616</v>
      </c>
      <c r="AB22" s="343">
        <f>Corporate!Z21</f>
        <v>4038.4679999999998</v>
      </c>
      <c r="AC22" s="39"/>
      <c r="AD22" s="489">
        <f>Corporate!AB21</f>
        <v>865.65899999999999</v>
      </c>
      <c r="AE22" s="457">
        <f>Corporate!AC21</f>
        <v>865.65899999999999</v>
      </c>
      <c r="AF22" s="457">
        <f>Corporate!AD21</f>
        <v>1731.318</v>
      </c>
      <c r="AG22" s="457">
        <f>Corporate!AE21</f>
        <v>1003.706</v>
      </c>
      <c r="AH22" s="457">
        <f>Corporate!AF21</f>
        <v>2735.0239999999999</v>
      </c>
      <c r="AI22" s="457">
        <f>AJ22-AH22</f>
        <v>1004.616</v>
      </c>
      <c r="AJ22" s="343">
        <f>Corporate!AH21</f>
        <v>3739.64</v>
      </c>
      <c r="AK22" s="39"/>
    </row>
    <row r="23" spans="1:82" x14ac:dyDescent="0.25">
      <c r="A23" s="6" t="s">
        <v>261</v>
      </c>
      <c r="B23" s="6"/>
      <c r="C23" s="6"/>
      <c r="D23" s="755">
        <v>0</v>
      </c>
      <c r="E23" s="36"/>
      <c r="F23" s="643">
        <v>0</v>
      </c>
      <c r="G23" s="586">
        <f>Corporate!E22</f>
        <v>2826.6439999999998</v>
      </c>
      <c r="H23" s="586">
        <f>Corporate!F22</f>
        <v>2826.6439999999998</v>
      </c>
      <c r="I23" s="586">
        <f>Corporate!G22</f>
        <v>0</v>
      </c>
      <c r="J23" s="586">
        <f>Corporate!H22</f>
        <v>2826.6439999999998</v>
      </c>
      <c r="K23" s="586">
        <f>Corporate!I22</f>
        <v>0</v>
      </c>
      <c r="L23" s="595">
        <f>Corporate!J22</f>
        <v>2826.6439999999998</v>
      </c>
      <c r="M23" s="39"/>
      <c r="N23" s="489">
        <v>0</v>
      </c>
      <c r="O23" s="457">
        <v>0</v>
      </c>
      <c r="P23" s="457">
        <v>0</v>
      </c>
      <c r="Q23" s="457">
        <v>0</v>
      </c>
      <c r="R23" s="457">
        <v>0</v>
      </c>
      <c r="S23" s="457">
        <v>0</v>
      </c>
      <c r="T23" s="343">
        <v>0</v>
      </c>
      <c r="U23" s="39"/>
      <c r="V23" s="489">
        <v>0</v>
      </c>
      <c r="W23" s="457">
        <v>0</v>
      </c>
      <c r="X23" s="584">
        <v>0</v>
      </c>
      <c r="Y23" s="457">
        <v>0</v>
      </c>
      <c r="Z23" s="584">
        <v>0</v>
      </c>
      <c r="AA23" s="457">
        <v>0</v>
      </c>
      <c r="AB23" s="343">
        <v>0</v>
      </c>
      <c r="AC23" s="39"/>
      <c r="AD23" s="489">
        <v>0</v>
      </c>
      <c r="AE23" s="457">
        <v>0</v>
      </c>
      <c r="AF23" s="457">
        <v>0</v>
      </c>
      <c r="AG23" s="457">
        <f>AH23-AF23</f>
        <v>534</v>
      </c>
      <c r="AH23" s="457">
        <f>Corporate!AF22</f>
        <v>534</v>
      </c>
      <c r="AI23" s="457">
        <f>AJ23-AH23</f>
        <v>0</v>
      </c>
      <c r="AJ23" s="343">
        <f>Corporate!AH22</f>
        <v>534</v>
      </c>
      <c r="AK23" s="39"/>
    </row>
    <row r="24" spans="1:82" x14ac:dyDescent="0.25">
      <c r="A24" s="6" t="s">
        <v>264</v>
      </c>
      <c r="B24" s="6"/>
      <c r="C24" s="6"/>
      <c r="D24" s="755">
        <v>0</v>
      </c>
      <c r="E24" s="36"/>
      <c r="F24" s="643">
        <v>0</v>
      </c>
      <c r="G24" s="586">
        <v>0</v>
      </c>
      <c r="H24" s="586">
        <v>0</v>
      </c>
      <c r="I24" s="586">
        <v>0</v>
      </c>
      <c r="J24" s="586">
        <v>0</v>
      </c>
      <c r="K24" s="586">
        <v>0</v>
      </c>
      <c r="L24" s="595">
        <v>0</v>
      </c>
      <c r="M24" s="39"/>
      <c r="N24" s="489"/>
      <c r="O24" s="457">
        <f>24606</f>
        <v>24606</v>
      </c>
      <c r="P24" s="457">
        <v>24606</v>
      </c>
      <c r="Q24" s="457">
        <v>-388</v>
      </c>
      <c r="R24" s="457">
        <v>24218</v>
      </c>
      <c r="S24" s="457">
        <v>0</v>
      </c>
      <c r="T24" s="343">
        <v>24218</v>
      </c>
      <c r="U24" s="39"/>
      <c r="V24" s="489">
        <v>0</v>
      </c>
      <c r="W24" s="457">
        <v>0</v>
      </c>
      <c r="X24" s="584">
        <v>0</v>
      </c>
      <c r="Y24" s="457">
        <v>0</v>
      </c>
      <c r="Z24" s="584">
        <v>0</v>
      </c>
      <c r="AA24" s="457">
        <v>0</v>
      </c>
      <c r="AB24" s="343">
        <v>0</v>
      </c>
      <c r="AC24" s="39"/>
      <c r="AD24" s="489">
        <v>0</v>
      </c>
      <c r="AE24" s="457">
        <v>0</v>
      </c>
      <c r="AF24" s="457">
        <v>0</v>
      </c>
      <c r="AG24" s="457">
        <v>0</v>
      </c>
      <c r="AH24" s="457">
        <v>0</v>
      </c>
      <c r="AI24" s="457">
        <v>0</v>
      </c>
      <c r="AJ24" s="343">
        <v>0</v>
      </c>
      <c r="AK24" s="39"/>
    </row>
    <row r="25" spans="1:82" x14ac:dyDescent="0.25">
      <c r="A25" s="6" t="s">
        <v>258</v>
      </c>
      <c r="B25" s="6"/>
      <c r="C25" s="6"/>
      <c r="D25" s="755">
        <f>Corporate!B26+Corporate!B23+'Arnold Magnetic'!E25+'Sterno Group'!E26+'5.11 Tactical'!E25+'Velocity Outdoor'!E25+'Altor Solutions'!E26+'BOA Technology'!E25+PrimaLoft!E25+THP!E25-1</f>
        <v>-7704.9440000000013</v>
      </c>
      <c r="E25" s="36"/>
      <c r="F25" s="643">
        <f>(Corporate!D26+Corporate!D23+'Arnold Magnetic'!G25+'Sterno Group'!G26+'5.11 Tactical'!G25+'Velocity Outdoor'!G25+'Altor Solutions'!G26+'BOA Technology'!G25+Lugano!E25+PrimaLoft!G25+THP!G25)</f>
        <v>13680.803543474998</v>
      </c>
      <c r="G25" s="586">
        <f>H25-F25</f>
        <v>-1712.782203474997</v>
      </c>
      <c r="H25" s="586">
        <f>(Corporate!F26+Corporate!F23+'Arnold Magnetic'!I25+'Sterno Group'!I26+'5.11 Tactical'!I25+'Velocity Outdoor'!I25+'Altor Solutions'!I26+'BOA Technology'!I25+Lugano!G25+PrimaLoft!I25+THP!I25)</f>
        <v>11968.021340000001</v>
      </c>
      <c r="I25" s="586">
        <f>(Corporate!G26+Corporate!G23+'Arnold Magnetic'!J25+'Sterno Group'!J26+'5.11 Tactical'!J25+'Velocity Outdoor'!J25+'Altor Solutions'!J26+'BOA Technology'!J25+Lugano!H25+PrimaLoft!J25+THP!J25)-2</f>
        <v>2342.5470000000005</v>
      </c>
      <c r="J25" s="457">
        <f>(Corporate!H26+Corporate!H23+'Arnold Magnetic'!K25+'Sterno Group'!K26+'5.11 Tactical'!K25+'Velocity Outdoor'!K25+'Altor Solutions'!K26+'BOA Technology'!K25+Lugano!I25+PrimaLoft!K25+THP!K25)-2</f>
        <v>14310.568340000002</v>
      </c>
      <c r="K25" s="586">
        <f>L25-J25</f>
        <v>353.58799999999974</v>
      </c>
      <c r="L25" s="343">
        <f>(Corporate!J26+Corporate!J23+'Arnold Magnetic'!M25+'Sterno Group'!M26+'5.11 Tactical'!M25+'Velocity Outdoor'!M25+'Altor Solutions'!M26+'BOA Technology'!M25+Lugano!K25+PrimaLoft!M25+THP!M25)</f>
        <v>14664.156340000001</v>
      </c>
      <c r="M25" s="39"/>
      <c r="N25" s="643">
        <f>(Corporate!L26+Corporate!L23+'Arnold Magnetic'!O25+'Sterno Group'!O26+'5.11 Tactical'!O25+'Velocity Outdoor'!O25+'Altor Solutions'!O26+'BOA Technology'!O25+Lugano!M25+PrimaLoft!O25+THP!O25)-1</f>
        <v>47439.497000000003</v>
      </c>
      <c r="O25" s="586">
        <f>(Corporate!M26+Corporate!M23+'Arnold Magnetic'!P25+'Sterno Group'!P26+'5.11 Tactical'!P25+'Velocity Outdoor'!P25+'Altor Solutions'!P26+'BOA Technology'!P25+Lugano!N25+PrimaLoft!P25+THP!P25)-O24-2</f>
        <v>40641.550000000003</v>
      </c>
      <c r="P25" s="586">
        <f>(Corporate!N26+Corporate!N23+'Arnold Magnetic'!Q25+'Sterno Group'!Q26+'5.11 Tactical'!Q25+'Velocity Outdoor'!Q25+'Altor Solutions'!Q26+'BOA Technology'!Q25+Lugano!O25+PrimaLoft!Q25+THP!Q25)+2-P24</f>
        <v>88084.200000000012</v>
      </c>
      <c r="Q25" s="586">
        <f>(Corporate!O26+Corporate!O23+'Arnold Magnetic'!R25+'Sterno Group'!R26+'5.11 Tactical'!R25+'Velocity Outdoor'!R25+'Altor Solutions'!R26+'BOA Technology'!R25+Lugano!P25+PrimaLoft!R25+THP!R25)-Q24</f>
        <v>37768.711000000003</v>
      </c>
      <c r="R25" s="586">
        <f>(Corporate!P26+Corporate!P23+'Arnold Magnetic'!S25+'Sterno Group'!S26+'5.11 Tactical'!S25+'Velocity Outdoor'!S25+'Altor Solutions'!S26+'BOA Technology'!S25+Lugano!Q25+PrimaLoft!S25+THP!S25)-R24-4</f>
        <v>125853.079</v>
      </c>
      <c r="S25" s="586">
        <f>T25-R25</f>
        <v>17450.883999999991</v>
      </c>
      <c r="T25" s="595">
        <f>(Corporate!R26+Corporate!R23+'Arnold Magnetic'!U25+'Sterno Group'!U26+'5.11 Tactical'!U25+'Velocity Outdoor'!U25+'Altor Solutions'!U26+'BOA Technology'!U25+Lugano!S25+PrimaLoft!U25+THP!U25)-T24</f>
        <v>143303.96299999999</v>
      </c>
      <c r="U25" s="39"/>
      <c r="V25" s="489">
        <f>Corporate!T23+Corporate!T26+'Arnold Magnetic'!W25+'Sterno Group'!W26+'5.11 Tactical'!W25+'Velocity Outdoor'!W25+'Altor Solutions'!W26+'BOA Technology'!W25+Lugano!U25+PrimaLoft!W25-2</f>
        <v>14287.782999999999</v>
      </c>
      <c r="W25" s="457">
        <f>X25-V25</f>
        <v>18213.416000000001</v>
      </c>
      <c r="X25" s="584">
        <f>(Corporate!V23+Corporate!V26+'Arnold Magnetic'!Y25+'Sterno Group'!Y26+'5.11 Tactical'!Y25+'Velocity Outdoor'!Y25+'Altor Solutions'!Y26+'BOA Technology'!Y25+Lugano!W25+PrimaLoft!Y25)</f>
        <v>32501.199000000001</v>
      </c>
      <c r="Y25" s="457">
        <f>Z25-X25+1</f>
        <v>35113.44400000001</v>
      </c>
      <c r="Z25" s="584">
        <f>(Corporate!X23+Corporate!X26+'Arnold Magnetic'!AA25+'Sterno Group'!AA26+'5.11 Tactical'!AA25+'Velocity Outdoor'!AA25+'Altor Solutions'!AA26+'BOA Technology'!AA25+Lugano!Y25+PrimaLoft!AA25)-3</f>
        <v>67613.643000000011</v>
      </c>
      <c r="AA25" s="457">
        <f>AB25-Z25</f>
        <v>15500.314999999988</v>
      </c>
      <c r="AB25" s="343">
        <f>(Corporate!Z23+Corporate!Z26+'Arnold Magnetic'!AC25+'Sterno Group'!AC26+'5.11 Tactical'!AC25+'Velocity Outdoor'!AC25+'Altor Solutions'!AC26+'BOA Technology'!AC25+Lugano!AA25+PrimaLoft!AC25)-4</f>
        <v>83113.957999999999</v>
      </c>
      <c r="AC25" s="39"/>
      <c r="AD25" s="489">
        <f>Corporate!AB23+Corporate!AB26+'Arnold Magnetic'!AE25+'Sterno Group'!AE26+'5.11 Tactical'!AE25+'Velocity Outdoor'!AE25+'Altor Solutions'!AE26+'BOA Technology'!AE25+Lugano!AC25-1</f>
        <v>23401.955829999999</v>
      </c>
      <c r="AE25" s="457">
        <f>AF25-AD25</f>
        <v>10803.907949999993</v>
      </c>
      <c r="AF25" s="457">
        <f>Corporate!AD23+Corporate!AD26+'Arnold Magnetic'!AG25+'Sterno Group'!AG26+'5.11 Tactical'!AG25+'Velocity Outdoor'!AG25+'Altor Solutions'!AG26+'BOA Technology'!AG25+Lugano!AE25+1</f>
        <v>34205.863779999992</v>
      </c>
      <c r="AG25" s="457">
        <f>AH25-AF25</f>
        <v>14262.053630000009</v>
      </c>
      <c r="AH25" s="457">
        <f>Corporate!AF23+Corporate!AF26+'Arnold Magnetic'!AI25+'Sterno Group'!AI26+'5.11 Tactical'!AI25+'Velocity Outdoor'!AI25+'Altor Solutions'!AI26+'BOA Technology'!AI25+Lugano!AG25+PrimaLoft!AF25+2</f>
        <v>48467.917410000002</v>
      </c>
      <c r="AI25" s="457">
        <f>AJ25-AH25</f>
        <v>20378.803999999996</v>
      </c>
      <c r="AJ25" s="595">
        <f>Corporate!AH23+'Arnold Magnetic'!AK25+'Sterno Group'!AK26+'5.11 Tactical'!AK25+'Velocity Outdoor'!AK25+'Altor Solutions'!AK26+'BOA Technology'!AK25+Lugano!AI25+PrimaLoft!AH25+Corporate!AH26-10</f>
        <v>68846.721409999998</v>
      </c>
      <c r="AK25" s="39"/>
    </row>
    <row r="26" spans="1:82" x14ac:dyDescent="0.25">
      <c r="A26" s="6" t="s">
        <v>20</v>
      </c>
      <c r="B26" s="6"/>
      <c r="C26" s="6"/>
      <c r="D26" s="755">
        <f>Corporate!B20+'Arnold Magnetic'!E27+'Sterno Group'!E28+'5.11 Tactical'!E27+'Velocity Outdoor'!E27+'Altor Solutions'!E28+'BOA Technology'!E27+PrimaLoft!E27+THP!E27</f>
        <v>0</v>
      </c>
      <c r="E26" s="36"/>
      <c r="F26" s="643">
        <v>0</v>
      </c>
      <c r="G26" s="586">
        <v>0</v>
      </c>
      <c r="H26" s="586">
        <v>0</v>
      </c>
      <c r="I26" s="457">
        <v>0</v>
      </c>
      <c r="J26" s="457">
        <v>0</v>
      </c>
      <c r="K26" s="586">
        <v>0</v>
      </c>
      <c r="L26" s="343">
        <v>0</v>
      </c>
      <c r="M26" s="39"/>
      <c r="N26" s="489">
        <f>Corporate!L20+'Arnold Magnetic'!O27+'Sterno Group'!O28+'5.11 Tactical'!O27+'Velocity Outdoor'!O27+'Altor Solutions'!O28+'BOA Technology'!O27+Lugano!M27+PrimaLoft!O27+THP!O27</f>
        <v>0</v>
      </c>
      <c r="O26" s="457">
        <f>Corporate!M20+'Arnold Magnetic'!P27+'Sterno Group'!P28+'5.11 Tactical'!P27+'Velocity Outdoor'!P27+'Altor Solutions'!P28+'BOA Technology'!P27+Lugano!N27+PrimaLoft!P27+THP!P27</f>
        <v>0</v>
      </c>
      <c r="P26" s="457">
        <f>Corporate!N20+'Arnold Magnetic'!Q27+'Sterno Group'!Q28+'5.11 Tactical'!Q27+'Velocity Outdoor'!Q27+'Altor Solutions'!Q28+'BOA Technology'!Q27+Lugano!O27+PrimaLoft!Q27+THP!Q27+1</f>
        <v>0</v>
      </c>
      <c r="Q26" s="586">
        <f>Corporate!O20+'Arnold Magnetic'!R27+'Sterno Group'!R28+'5.11 Tactical'!R27+'Velocity Outdoor'!R27+'Altor Solutions'!R28+'BOA Technology'!R27+Lugano!P27+PrimaLoft!R27+THP!R27-1</f>
        <v>0</v>
      </c>
      <c r="R26" s="586">
        <f>Corporate!P20+'Arnold Magnetic'!S27+'Sterno Group'!S28+'5.11 Tactical'!S27+'Velocity Outdoor'!S27+'Altor Solutions'!S28+'BOA Technology'!S27+Lugano!Q27+PrimaLoft!S27+THP!S27</f>
        <v>0</v>
      </c>
      <c r="S26" s="457">
        <f>T26-R26</f>
        <v>0</v>
      </c>
      <c r="T26" s="595">
        <f>Corporate!R20+'Arnold Magnetic'!U27+'Sterno Group'!U28+'5.11 Tactical'!U27+'Velocity Outdoor'!U27+'Altor Solutions'!U28+'BOA Technology'!U27+Lugano!S27+PrimaLoft!U27+THP!U27</f>
        <v>0</v>
      </c>
      <c r="U26" s="39"/>
      <c r="V26" s="489">
        <f>Corporate!T20+'Arnold Magnetic'!W27+'Sterno Group'!W28+'5.11 Tactical'!W27+'Velocity Outdoor'!W27+'Altor Solutions'!W28+'BOA Technology'!W27+Lugano!U27+PrimaLoft!W27</f>
        <v>0</v>
      </c>
      <c r="W26" s="457">
        <f>X26-V26</f>
        <v>0</v>
      </c>
      <c r="X26" s="584">
        <f>Corporate!V20+'Arnold Magnetic'!Y27+'Sterno Group'!Y28+'5.11 Tactical'!Y27+'Velocity Outdoor'!Y27+'Altor Solutions'!Y28+'BOA Technology'!Y27+Lugano!W27+PrimaLoft!Y27-1</f>
        <v>0</v>
      </c>
      <c r="Y26" s="457">
        <f>Z26-X26</f>
        <v>0</v>
      </c>
      <c r="Z26" s="584">
        <f>Corporate!X20+'Arnold Magnetic'!AA27+'Sterno Group'!AA28+'5.11 Tactical'!AA27+'Velocity Outdoor'!AA27+'Altor Solutions'!AA28+'BOA Technology'!AA27+Lugano!Y27+PrimaLoft!AA27</f>
        <v>0</v>
      </c>
      <c r="AA26" s="457">
        <f>AB26-Z26</f>
        <v>-0.18299999998998828</v>
      </c>
      <c r="AB26" s="343">
        <f>Corporate!Z20+'Arnold Magnetic'!AC27+'Sterno Group'!AC28+'5.11 Tactical'!AC27+'Velocity Outdoor'!AC27+'Altor Solutions'!AC28+'BOA Technology'!AC27+Lugano!AA27+PrimaLoft!AC27</f>
        <v>-0.18299999998998828</v>
      </c>
      <c r="AC26" s="39"/>
      <c r="AD26" s="489">
        <f>Corporate!AB20+'Arnold Magnetic'!AE27+'Sterno Group'!AE28+'5.11 Tactical'!AE27+'Velocity Outdoor'!AE27+'Altor Solutions'!AE28+'BOA Technology'!AE27+Lugano!AC27</f>
        <v>0</v>
      </c>
      <c r="AE26" s="457">
        <f>AF26-AD26</f>
        <v>-0.35599999999976717</v>
      </c>
      <c r="AF26" s="457">
        <f>Corporate!AD20+'Arnold Magnetic'!AG27+'Sterno Group'!AG28+'5.11 Tactical'!AG27+'Velocity Outdoor'!AG27+'Altor Solutions'!AG28+'BOA Technology'!AG27+Lugano!AE27</f>
        <v>-0.35599999999976717</v>
      </c>
      <c r="AG26" s="457">
        <f>AH26-AF26</f>
        <v>0.35599999999976717</v>
      </c>
      <c r="AH26" s="457">
        <f>Corporate!AF20+'Arnold Magnetic'!AI27+'Sterno Group'!AI28+'5.11 Tactical'!AI27+'Velocity Outdoor'!AI27+'Altor Solutions'!AI28+'BOA Technology'!AI27+Lugano!AG27+PrimaLoft!AF33</f>
        <v>0</v>
      </c>
      <c r="AI26" s="457">
        <f>AJ26-AH26</f>
        <v>0</v>
      </c>
      <c r="AJ26" s="343">
        <f>Corporate!AH20+'Arnold Magnetic'!AK27+'Sterno Group'!AK28+'5.11 Tactical'!AK27+'Velocity Outdoor'!AK27+'Altor Solutions'!AK28+'BOA Technology'!AK27+Lugano!AI27+PrimaLoft!AH33</f>
        <v>0</v>
      </c>
      <c r="AK26" s="39"/>
    </row>
    <row r="27" spans="1:82" x14ac:dyDescent="0.25">
      <c r="A27" s="6" t="s">
        <v>21</v>
      </c>
      <c r="B27" s="6"/>
      <c r="C27" s="6"/>
      <c r="D27" s="755">
        <f>Corporate!B24+'Arnold Magnetic'!E28+'Sterno Group'!E29+'5.11 Tactical'!E28+'Velocity Outdoor'!E28+'Altor Solutions'!E29+'BOA Technology'!E28+PrimaLoft!E28+THP!E28</f>
        <v>7063.8680000000004</v>
      </c>
      <c r="E27" s="36"/>
      <c r="F27" s="643">
        <f>Corporate!D24+'Arnold Magnetic'!G28+'Sterno Group'!G29+'5.11 Tactical'!G28+'Velocity Outdoor'!G28+'Altor Solutions'!G29+'BOA Technology'!G28+Lugano!E28+PrimaLoft!G28+THP!G28+4</f>
        <v>2538.2069999999999</v>
      </c>
      <c r="G27" s="586">
        <f>Corporate!E24+'Arnold Magnetic'!H28+'Sterno Group'!H29+'5.11 Tactical'!H28+'Velocity Outdoor'!H28+'Altor Solutions'!H29+'BOA Technology'!H28+Lugano!F28+PrimaLoft!H28+THP!H28-3</f>
        <v>17358.109</v>
      </c>
      <c r="H27" s="586">
        <f>Corporate!F24+'Arnold Magnetic'!I28+'Sterno Group'!I29+'5.11 Tactical'!I28+'Velocity Outdoor'!I28+'Altor Solutions'!I29+'BOA Technology'!I28+Lugano!G28+PrimaLoft!I28+THP!I28</f>
        <v>19895.315999999999</v>
      </c>
      <c r="I27" s="457">
        <f>Corporate!G24+'Arnold Magnetic'!J28+'Sterno Group'!J29+'5.11 Tactical'!J28+'Velocity Outdoor'!J28+'Altor Solutions'!J29+'BOA Technology'!J28+Lugano!H28+PrimaLoft!J28+THP!J28</f>
        <v>5763.188000000001</v>
      </c>
      <c r="J27" s="457">
        <f>Corporate!H24+'Arnold Magnetic'!K28+'Sterno Group'!K29+'5.11 Tactical'!K28+'Velocity Outdoor'!K28+'Altor Solutions'!K29+'BOA Technology'!K28+Lugano!I28+PrimaLoft!K28+THP!K28</f>
        <v>25658.754000000001</v>
      </c>
      <c r="K27" s="586">
        <f>L27-J27</f>
        <v>-26603.507999999998</v>
      </c>
      <c r="L27" s="343">
        <f>Corporate!J24+'Arnold Magnetic'!M28+'Sterno Group'!M29+'5.11 Tactical'!M28+'Velocity Outdoor'!M28+'Altor Solutions'!M29+'BOA Technology'!M28+Lugano!K28+PrimaLoft!M28+THP!M28</f>
        <v>-944.75399999999888</v>
      </c>
      <c r="M27" s="39"/>
      <c r="N27" s="489">
        <f>Corporate!L24+'Arnold Magnetic'!O28+'Sterno Group'!O29+'5.11 Tactical'!O28+'Velocity Outdoor'!O28+'Altor Solutions'!O29+'BOA Technology'!O28+Lugano!M28+PrimaLoft!O28+THP!O28</f>
        <v>3110</v>
      </c>
      <c r="O27" s="457">
        <f>Corporate!M24+'Arnold Magnetic'!P28+'Sterno Group'!P29+'5.11 Tactical'!P28+'Velocity Outdoor'!P28+'Altor Solutions'!P29+'BOA Technology'!P28+Lugano!N28+PrimaLoft!P28+THP!P28+1</f>
        <v>15593</v>
      </c>
      <c r="P27" s="457">
        <f>Corporate!N24+'Arnold Magnetic'!Q28+'Sterno Group'!Q29+'5.11 Tactical'!Q28+'Velocity Outdoor'!Q28+'Altor Solutions'!Q29+'BOA Technology'!Q28+Lugano!O28+PrimaLoft!Q28+THP!Q28</f>
        <v>18703</v>
      </c>
      <c r="Q27" s="586">
        <f>Corporate!O24+'Arnold Magnetic'!R28+'Sterno Group'!R29+'5.11 Tactical'!R28+'Velocity Outdoor'!R28+'Altor Solutions'!R29+'BOA Technology'!R28+Lugano!P28+PrimaLoft!R28+THP!R28</f>
        <v>2772</v>
      </c>
      <c r="R27" s="586">
        <f>Corporate!P24+'Arnold Magnetic'!S28+'Sterno Group'!S29+'5.11 Tactical'!S28+'Velocity Outdoor'!S28+'Altor Solutions'!S29+'BOA Technology'!S28+Lugano!Q28+PrimaLoft!S28+THP!S28</f>
        <v>21475</v>
      </c>
      <c r="S27" s="457">
        <f>T27-R27</f>
        <v>-2863</v>
      </c>
      <c r="T27" s="595">
        <f>Corporate!R24+'Arnold Magnetic'!U28+'Sterno Group'!U29+'5.11 Tactical'!U28+'Velocity Outdoor'!U28+'Altor Solutions'!U29+'BOA Technology'!U28+Lugano!S28+PrimaLoft!U28+THP!U28+1</f>
        <v>18612</v>
      </c>
      <c r="U27" s="39"/>
      <c r="V27" s="489">
        <f>Corporate!T24+'Arnold Magnetic'!W28+'Sterno Group'!W29+'5.11 Tactical'!W28+'Velocity Outdoor'!W28+'Altor Solutions'!W29+'BOA Technology'!W28+Lugano!U28+PrimaLoft!W28-1</f>
        <v>4088</v>
      </c>
      <c r="W27" s="457">
        <f>X27-V27</f>
        <v>1775</v>
      </c>
      <c r="X27" s="584">
        <f>Corporate!V24+'Arnold Magnetic'!Y28+'Sterno Group'!Y29+'5.11 Tactical'!Y28+'Velocity Outdoor'!Y28+'Altor Solutions'!Y29+'BOA Technology'!Y28+Lugano!W28+PrimaLoft!Y28-1</f>
        <v>5863</v>
      </c>
      <c r="Y27" s="457">
        <f>Z27-X27</f>
        <v>300</v>
      </c>
      <c r="Z27" s="584">
        <f>Corporate!X24+'Arnold Magnetic'!AA28+'Sterno Group'!AA29+'5.11 Tactical'!AA28+'Velocity Outdoor'!AA28+'Altor Solutions'!AA29+'BOA Technology'!AA28+Lugano!Y28+PrimaLoft!AA28+1</f>
        <v>6163</v>
      </c>
      <c r="AA27" s="457">
        <f>AB27-Z27</f>
        <v>2034.5789999999979</v>
      </c>
      <c r="AB27" s="343">
        <f>Corporate!Z24+'Arnold Magnetic'!AC28+'Sterno Group'!AC29+'5.11 Tactical'!AC28+'Velocity Outdoor'!AC28+'Altor Solutions'!AC29+'BOA Technology'!AC28+Lugano!AA28+PrimaLoft!AC28-12.5-1</f>
        <v>8197.5789999999979</v>
      </c>
      <c r="AC27" s="39"/>
      <c r="AD27" s="489">
        <f>Corporate!AB24+'Arnold Magnetic'!AE28+'Sterno Group'!AE29+'5.11 Tactical'!AE28+'Velocity Outdoor'!AE28+'Altor Solutions'!AE29+'BOA Technology'!AE28+Lugano!AC28</f>
        <v>5193.1509999999998</v>
      </c>
      <c r="AE27" s="457">
        <f>AF27-AD27</f>
        <v>5413.875</v>
      </c>
      <c r="AF27" s="457">
        <f>Corporate!AD24+'Arnold Magnetic'!AG31+'Sterno Group'!AG32+'5.11 Tactical'!AG31+'Velocity Outdoor'!AG31+'Altor Solutions'!AG32+'BOA Technology'!AG31+Lugano!AE31-1</f>
        <v>10607.026</v>
      </c>
      <c r="AG27" s="457">
        <f>AH27-AF27</f>
        <v>18838.046999999999</v>
      </c>
      <c r="AH27" s="457">
        <f>Corporate!AF24+'Arnold Magnetic'!AI31+'Sterno Group'!AI32+'5.11 Tactical'!AI31+'Velocity Outdoor'!AI31+'Altor Solutions'!AI32+'BOA Technology'!AI31+Lugano!AG31+PrimaLoft!AF28</f>
        <v>29445.072999999997</v>
      </c>
      <c r="AI27" s="457">
        <f>AJ27-AH27</f>
        <v>47.466000000000349</v>
      </c>
      <c r="AJ27" s="343">
        <f>Corporate!AH24+'Arnold Magnetic'!AK31+'Sterno Group'!AK32+'5.11 Tactical'!AK31+'Velocity Outdoor'!AK31+'Altor Solutions'!AK32+'BOA Technology'!AK31+Lugano!AI31+PrimaLoft!AH28</f>
        <v>29492.538999999997</v>
      </c>
      <c r="AK27" s="39"/>
    </row>
    <row r="28" spans="1:82" s="6" customFormat="1" ht="17.25" x14ac:dyDescent="0.4">
      <c r="A28" s="6" t="s">
        <v>255</v>
      </c>
      <c r="D28" s="769">
        <f>Corporate!B25</f>
        <v>0</v>
      </c>
      <c r="E28" s="36"/>
      <c r="F28" s="673">
        <f>Corporate!D25</f>
        <v>0</v>
      </c>
      <c r="G28" s="674">
        <f>Corporate!E25</f>
        <v>0</v>
      </c>
      <c r="H28" s="674">
        <f>Corporate!F25</f>
        <v>0</v>
      </c>
      <c r="I28" s="763">
        <f>Corporate!G25</f>
        <v>0</v>
      </c>
      <c r="J28" s="763">
        <f>Corporate!H25</f>
        <v>0</v>
      </c>
      <c r="K28" s="674">
        <f>Corporate!I25</f>
        <v>111876.30899999999</v>
      </c>
      <c r="L28" s="764">
        <f>Corporate!J25</f>
        <v>111876.30899999999</v>
      </c>
      <c r="M28" s="39"/>
      <c r="N28" s="762">
        <v>0</v>
      </c>
      <c r="O28" s="763">
        <v>0</v>
      </c>
      <c r="P28" s="763">
        <v>0</v>
      </c>
      <c r="Q28" s="674">
        <v>0</v>
      </c>
      <c r="R28" s="674">
        <v>0</v>
      </c>
      <c r="S28" s="763">
        <v>0</v>
      </c>
      <c r="T28" s="680">
        <v>0</v>
      </c>
      <c r="U28" s="39"/>
      <c r="V28" s="762">
        <v>0</v>
      </c>
      <c r="W28" s="763">
        <v>0</v>
      </c>
      <c r="X28" s="763">
        <v>0</v>
      </c>
      <c r="Y28" s="763">
        <v>0</v>
      </c>
      <c r="Z28" s="763">
        <v>0</v>
      </c>
      <c r="AA28" s="763">
        <v>0</v>
      </c>
      <c r="AB28" s="764">
        <v>0</v>
      </c>
      <c r="AC28" s="39"/>
      <c r="AD28" s="762">
        <v>0</v>
      </c>
      <c r="AE28" s="763">
        <v>0</v>
      </c>
      <c r="AF28" s="763">
        <v>0</v>
      </c>
      <c r="AG28" s="763">
        <v>0</v>
      </c>
      <c r="AH28" s="763">
        <v>0</v>
      </c>
      <c r="AI28" s="763">
        <v>0</v>
      </c>
      <c r="AJ28" s="764">
        <v>0</v>
      </c>
      <c r="AK28" s="39"/>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row>
    <row r="29" spans="1:82" s="14" customFormat="1" x14ac:dyDescent="0.25">
      <c r="A29" s="12" t="s">
        <v>194</v>
      </c>
      <c r="B29" s="12"/>
      <c r="C29" s="12"/>
      <c r="D29" s="753">
        <f>Corporate!B27+'Arnold Magnetic'!E29+'Sterno Group'!E30+'5.11 Tactical'!E29+'Velocity Outdoor'!E29+'Altor Solutions'!E30+'BOA Technology'!E29+PrimaLoft!E29+THP!E29</f>
        <v>-30831.395999999993</v>
      </c>
      <c r="E29" s="39"/>
      <c r="F29" s="697">
        <f>Corporate!D27+'Arnold Magnetic'!G29+'Sterno Group'!G30+'5.11 Tactical'!G29+'Velocity Outdoor'!G29+'Altor Solutions'!G30+'BOA Technology'!G29+Lugano!E29+PrimaLoft!G29+THP!G29-5</f>
        <v>-49753.895543474981</v>
      </c>
      <c r="G29" s="653">
        <f>H29-F29</f>
        <v>-80776.402456525029</v>
      </c>
      <c r="H29" s="653">
        <f>Corporate!F27+'Arnold Magnetic'!I29+'Sterno Group'!I30+'5.11 Tactical'!I29+'Velocity Outdoor'!I29+'Altor Solutions'!I30+'BOA Technology'!I29+Lugano!G29+PrimaLoft!I29+THP!I29+1</f>
        <v>-130530.29800000001</v>
      </c>
      <c r="I29" s="451">
        <f>Corporate!G27+'Arnold Magnetic'!J29+'Sterno Group'!J30+'5.11 Tactical'!J29+'Velocity Outdoor'!J29+'Altor Solutions'!J30+'BOA Technology'!J29+Lugano!H29+PrimaLoft!J29+THP!J29</f>
        <v>-86720.055999999997</v>
      </c>
      <c r="J29" s="451">
        <f>Corporate!H27+'Arnold Magnetic'!K29+'Sterno Group'!K30+'5.11 Tactical'!K29+'Velocity Outdoor'!K29+'Altor Solutions'!K30+'BOA Technology'!K29+Lugano!I29+PrimaLoft!K29+THP!K29+1</f>
        <v>-217250.60400000002</v>
      </c>
      <c r="K29" s="653">
        <f>L29-J29</f>
        <v>-79383.099000000075</v>
      </c>
      <c r="L29" s="341">
        <f>Corporate!J27+'Arnold Magnetic'!M29+'Sterno Group'!M30+'5.11 Tactical'!M29+'Velocity Outdoor'!M29+'Altor Solutions'!M30+'BOA Technology'!M29+Lugano!K29+PrimaLoft!M29+THP!M29+1</f>
        <v>-296633.7030000001</v>
      </c>
      <c r="M29" s="39"/>
      <c r="N29" s="697">
        <f>Corporate!L27+'Arnold Magnetic'!O29+'Sterno Group'!O30+'5.11 Tactical'!O29+'Velocity Outdoor'!O29+'Altor Solutions'!O30+'BOA Technology'!O29+Lugano!M29+PrimaLoft!O29+THP!O29</f>
        <v>-88931.039000000004</v>
      </c>
      <c r="O29" s="653">
        <f>Corporate!M27+'Arnold Magnetic'!P29+'Sterno Group'!P30+'5.11 Tactical'!P29+'Velocity Outdoor'!P29+'Altor Solutions'!P30+'BOA Technology'!P29+Lugano!N29+PrimaLoft!P29+THP!P29</f>
        <v>-103961.42199999999</v>
      </c>
      <c r="P29" s="451">
        <f>Corporate!N27+'Arnold Magnetic'!Q29+'Sterno Group'!Q30+'5.11 Tactical'!Q29+'Velocity Outdoor'!Q29+'Altor Solutions'!Q30+'BOA Technology'!Q29+Lugano!O29+PrimaLoft!Q29+THP!Q29-1</f>
        <v>-192890.614</v>
      </c>
      <c r="Q29" s="653">
        <f>Corporate!O27+'Arnold Magnetic'!R29+'Sterno Group'!R30+'5.11 Tactical'!R29+'Velocity Outdoor'!R29+'Altor Solutions'!R30+'BOA Technology'!R29+Lugano!P29+PrimaLoft!R29+THP!R29</f>
        <v>-64457.07</v>
      </c>
      <c r="R29" s="653">
        <f>Corporate!P27+'Arnold Magnetic'!S29+'Sterno Group'!S30+'5.11 Tactical'!S29+'Velocity Outdoor'!S29+'Altor Solutions'!S30+'BOA Technology'!S29+Lugano!Q29+PrimaLoft!S29+THP!S29+2</f>
        <v>-257349.85199999998</v>
      </c>
      <c r="S29" s="451">
        <f>T29-R29</f>
        <v>-70472.811000000016</v>
      </c>
      <c r="T29" s="657">
        <f>Corporate!R27+'Arnold Magnetic'!U29+'Sterno Group'!U30+'5.11 Tactical'!U29+'Velocity Outdoor'!U29+'Altor Solutions'!U30+'BOA Technology'!U29+Lugano!S29+PrimaLoft!U29+THP!U29-4</f>
        <v>-327822.663</v>
      </c>
      <c r="U29" s="39"/>
      <c r="V29" s="439">
        <f>Corporate!T27+'Arnold Magnetic'!W29+'Sterno Group'!W30+'5.11 Tactical'!W29+'Velocity Outdoor'!W29+'Altor Solutions'!W30+'BOA Technology'!W29+Lugano!U29+PrimaLoft!W29+1</f>
        <v>-41426.407000000007</v>
      </c>
      <c r="W29" s="451">
        <f t="shared" si="2"/>
        <v>-40157.522999999986</v>
      </c>
      <c r="X29" s="451">
        <f>Corporate!V27+'Arnold Magnetic'!Y29+'Sterno Group'!Y30+'5.11 Tactical'!Y29+'Velocity Outdoor'!Y29+'Altor Solutions'!Y30+'BOA Technology'!Y29+Lugano!W29+PrimaLoft!Y29+3</f>
        <v>-81583.929999999993</v>
      </c>
      <c r="Y29" s="451">
        <f t="shared" si="2"/>
        <v>-90196.998000000021</v>
      </c>
      <c r="Z29" s="451">
        <f>Corporate!X27+'Arnold Magnetic'!AA29+'Sterno Group'!AA30+'5.11 Tactical'!AA29+'Velocity Outdoor'!AA29+'Altor Solutions'!AA30+'BOA Technology'!AA29+Lugano!Y29+PrimaLoft!AA29+1</f>
        <v>-171780.92800000001</v>
      </c>
      <c r="AA29" s="451">
        <f t="shared" si="2"/>
        <v>-102869.98100000003</v>
      </c>
      <c r="AB29" s="341">
        <f>Corporate!Z27+'Arnold Magnetic'!AC29+'Sterno Group'!AC30+'5.11 Tactical'!AC29+'Velocity Outdoor'!AC29+'Altor Solutions'!AC30+'BOA Technology'!AC29+Lugano!AA29+PrimaLoft!AC29+7</f>
        <v>-274650.90900000004</v>
      </c>
      <c r="AC29" s="39"/>
      <c r="AD29" s="439">
        <f>Corporate!AB27+'Arnold Magnetic'!AE29+'Sterno Group'!AE30+'5.11 Tactical'!AE29+'Velocity Outdoor'!AE29+'Altor Solutions'!AE30+'BOA Technology'!AE29+Lugano!AC29-1</f>
        <v>-30941.662830000001</v>
      </c>
      <c r="AE29" s="451">
        <f t="shared" si="3"/>
        <v>-2691.0899499999941</v>
      </c>
      <c r="AF29" s="451">
        <f>Corporate!AD27+'Arnold Magnetic'!AG29+'Sterno Group'!AG30+'5.11 Tactical'!AG29+'Velocity Outdoor'!AG29+'Altor Solutions'!AG30+'BOA Technology'!AG29+Lugano!AE29</f>
        <v>-33632.752779999995</v>
      </c>
      <c r="AG29" s="451">
        <f t="shared" si="4"/>
        <v>-39889.986629999999</v>
      </c>
      <c r="AH29" s="451">
        <f>Corporate!AF27+'Arnold Magnetic'!AI29+'Sterno Group'!AI30+'5.11 Tactical'!AI29+'Velocity Outdoor'!AI29+'Altor Solutions'!AI30+'BOA Technology'!AI29+Lugano!AG29+PrimaLoft!AE29-9</f>
        <v>-73522.739409999995</v>
      </c>
      <c r="AI29" s="451">
        <f>AJ29-AH29</f>
        <v>-69906.314999999988</v>
      </c>
      <c r="AJ29" s="341">
        <f>Corporate!AH27+'Arnold Magnetic'!AK29+'Sterno Group'!AK30+'5.11 Tactical'!AK29+'Velocity Outdoor'!AK29+'Altor Solutions'!AK30+'BOA Technology'!AK29+Lugano!AI29+PrimaLoft!AH29+13</f>
        <v>-143429.05440999998</v>
      </c>
      <c r="AK29" s="39"/>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row>
    <row r="30" spans="1:82" s="14" customFormat="1" x14ac:dyDescent="0.25">
      <c r="A30" s="12"/>
      <c r="B30" s="12"/>
      <c r="C30" s="12"/>
      <c r="D30" s="753"/>
      <c r="E30" s="39"/>
      <c r="F30" s="697"/>
      <c r="G30" s="653"/>
      <c r="H30" s="653"/>
      <c r="I30" s="451"/>
      <c r="J30" s="451"/>
      <c r="K30" s="653"/>
      <c r="L30" s="341"/>
      <c r="M30" s="39"/>
      <c r="N30" s="439"/>
      <c r="O30" s="451"/>
      <c r="P30" s="451"/>
      <c r="Q30" s="451"/>
      <c r="R30" s="451"/>
      <c r="S30" s="451"/>
      <c r="T30" s="341"/>
      <c r="U30" s="39"/>
      <c r="V30" s="439"/>
      <c r="W30" s="451"/>
      <c r="X30" s="451"/>
      <c r="Y30" s="451"/>
      <c r="Z30" s="451"/>
      <c r="AA30" s="451"/>
      <c r="AB30" s="341"/>
      <c r="AC30" s="39"/>
      <c r="AD30" s="439"/>
      <c r="AE30" s="451"/>
      <c r="AF30" s="451"/>
      <c r="AG30" s="451"/>
      <c r="AH30" s="451"/>
      <c r="AI30" s="451"/>
      <c r="AJ30" s="341"/>
      <c r="AK30" s="39"/>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row>
    <row r="31" spans="1:82" s="6" customFormat="1" x14ac:dyDescent="0.25">
      <c r="A31" s="6" t="s">
        <v>23</v>
      </c>
      <c r="D31" s="755">
        <f>Corporate!B29</f>
        <v>0</v>
      </c>
      <c r="E31" s="36"/>
      <c r="F31" s="643">
        <v>0</v>
      </c>
      <c r="G31" s="586">
        <v>0</v>
      </c>
      <c r="H31" s="586">
        <v>0</v>
      </c>
      <c r="I31" s="457">
        <v>0</v>
      </c>
      <c r="J31" s="457">
        <v>0</v>
      </c>
      <c r="K31" s="586">
        <f>L31-J31</f>
        <v>0</v>
      </c>
      <c r="L31" s="343">
        <f>Corporate!J29</f>
        <v>0</v>
      </c>
      <c r="M31" s="39"/>
      <c r="N31" s="489">
        <f>Corporate!L29</f>
        <v>-317</v>
      </c>
      <c r="O31" s="457">
        <f>P31-N31</f>
        <v>-872</v>
      </c>
      <c r="P31" s="586">
        <f>Corporate!N29</f>
        <v>-1189</v>
      </c>
      <c r="Q31" s="586">
        <f>Corporate!O29</f>
        <v>1088</v>
      </c>
      <c r="R31" s="457">
        <f>Corporate!P29</f>
        <v>-101</v>
      </c>
      <c r="S31" s="457">
        <f>T31-R31</f>
        <v>7006</v>
      </c>
      <c r="T31" s="343">
        <f>Corporate!R29</f>
        <v>6905</v>
      </c>
      <c r="U31" s="39"/>
      <c r="V31" s="489">
        <f>Corporate!T29</f>
        <v>-10939.348</v>
      </c>
      <c r="W31" s="457">
        <f>Corporate!U29</f>
        <v>-5436.652</v>
      </c>
      <c r="X31" s="457">
        <f>Corporate!V29</f>
        <v>-16376</v>
      </c>
      <c r="Y31" s="457">
        <f>Z31-X31</f>
        <v>-10858</v>
      </c>
      <c r="Z31" s="457">
        <f>Corporate!X29</f>
        <v>-27234</v>
      </c>
      <c r="AA31" s="457">
        <f>AB31-Z31</f>
        <v>3026</v>
      </c>
      <c r="AB31" s="343">
        <f>Corporate!Z29</f>
        <v>-24208</v>
      </c>
      <c r="AC31" s="39"/>
      <c r="AD31" s="489">
        <f>Corporate!AB29</f>
        <v>-12380</v>
      </c>
      <c r="AE31" s="457">
        <f>AF31-AD31</f>
        <v>-7476.3762800000004</v>
      </c>
      <c r="AF31" s="457">
        <f>Corporate!AD29</f>
        <v>-19856.37628</v>
      </c>
      <c r="AG31" s="457">
        <f>AH31-AF31</f>
        <v>-11159.569349999998</v>
      </c>
      <c r="AH31" s="457">
        <f>Corporate!AF29</f>
        <v>-31015.945629999998</v>
      </c>
      <c r="AI31" s="457">
        <f>AJ31-AH31</f>
        <v>5184.9456299999983</v>
      </c>
      <c r="AJ31" s="343">
        <f>Corporate!AH29</f>
        <v>-25831</v>
      </c>
      <c r="AK31" s="39"/>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row>
    <row r="32" spans="1:82" s="35" customFormat="1" ht="17.25" x14ac:dyDescent="0.4">
      <c r="A32" s="6" t="s">
        <v>260</v>
      </c>
      <c r="D32" s="756">
        <f>Corporate!B30</f>
        <v>-157.13</v>
      </c>
      <c r="E32" s="192"/>
      <c r="F32" s="644">
        <f>Corporate!D30</f>
        <v>-44.045999999999999</v>
      </c>
      <c r="G32" s="634">
        <f>Corporate!E30</f>
        <v>-2804.9879999999998</v>
      </c>
      <c r="H32" s="634">
        <f>Corporate!F30</f>
        <v>-2849.0340000000001</v>
      </c>
      <c r="I32" s="458">
        <f>Corporate!G30</f>
        <v>522.89599999999996</v>
      </c>
      <c r="J32" s="458">
        <f>Corporate!H30</f>
        <v>-2326.1379999999999</v>
      </c>
      <c r="K32" s="634">
        <f>Corporate!I30</f>
        <v>-580.06200000000001</v>
      </c>
      <c r="L32" s="344">
        <f>Corporate!J30</f>
        <v>-2906.2</v>
      </c>
      <c r="M32" s="39"/>
      <c r="N32" s="762">
        <v>-3345</v>
      </c>
      <c r="O32" s="763">
        <v>0</v>
      </c>
      <c r="P32" s="763">
        <v>-3345</v>
      </c>
      <c r="Q32" s="763">
        <v>0</v>
      </c>
      <c r="R32" s="763">
        <v>-3345</v>
      </c>
      <c r="S32" s="763">
        <f>T32-R32</f>
        <v>-8612</v>
      </c>
      <c r="T32" s="764">
        <f>Corporate!R30</f>
        <v>-11957</v>
      </c>
      <c r="U32" s="39"/>
      <c r="V32" s="490">
        <f>Corporate!T30</f>
        <v>-97989</v>
      </c>
      <c r="W32" s="458">
        <f>X32-V32</f>
        <v>-4232</v>
      </c>
      <c r="X32" s="458">
        <f>Corporate!V30</f>
        <v>-102221</v>
      </c>
      <c r="Y32" s="458">
        <f>Z32-X32</f>
        <v>-1274</v>
      </c>
      <c r="Z32" s="458">
        <f>Corporate!X30</f>
        <v>-103495</v>
      </c>
      <c r="AA32" s="458">
        <f>AB32-Z32</f>
        <v>-179529.5</v>
      </c>
      <c r="AB32" s="344">
        <f>Corporate!Z30+0.5</f>
        <v>-283024.5</v>
      </c>
      <c r="AC32" s="39"/>
      <c r="AD32" s="490">
        <f>Corporate!AB30</f>
        <v>-5993</v>
      </c>
      <c r="AE32" s="458">
        <f>AF32-AD32</f>
        <v>579</v>
      </c>
      <c r="AF32" s="458">
        <f>Corporate!AD30</f>
        <v>-5414</v>
      </c>
      <c r="AG32" s="458">
        <f>AH32-AF32</f>
        <v>-1478.6710000000003</v>
      </c>
      <c r="AH32" s="458">
        <f>Corporate!AF30</f>
        <v>-6892.6710000000003</v>
      </c>
      <c r="AI32" s="458">
        <f>AJ32-AH32</f>
        <v>-2500.3289999999997</v>
      </c>
      <c r="AJ32" s="344">
        <f>Corporate!AH30</f>
        <v>-9393</v>
      </c>
      <c r="AK32" s="39"/>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row>
    <row r="33" spans="1:82" s="14" customFormat="1" x14ac:dyDescent="0.25">
      <c r="A33" s="12" t="s">
        <v>262</v>
      </c>
      <c r="B33" s="12"/>
      <c r="C33" s="12"/>
      <c r="D33" s="578">
        <f>D29-SUM(D31:D32)</f>
        <v>-30674.265999999992</v>
      </c>
      <c r="E33" s="12"/>
      <c r="F33" s="691">
        <f>F29-SUM(F30:F32)</f>
        <v>-49709.849543474978</v>
      </c>
      <c r="G33" s="532">
        <f>G29-SUM(G30:G32)</f>
        <v>-77971.414456525032</v>
      </c>
      <c r="H33" s="532">
        <f t="shared" ref="H33:K33" si="5">H29-SUM(H30:H32)</f>
        <v>-127681.26400000001</v>
      </c>
      <c r="I33" s="406">
        <f t="shared" si="5"/>
        <v>-87242.95199999999</v>
      </c>
      <c r="J33" s="406">
        <f t="shared" si="5"/>
        <v>-214924.46600000001</v>
      </c>
      <c r="K33" s="532">
        <f t="shared" si="5"/>
        <v>-78803.037000000069</v>
      </c>
      <c r="L33" s="21">
        <f>L29-SUM(L31:L32)</f>
        <v>-293727.50300000008</v>
      </c>
      <c r="M33" s="39"/>
      <c r="N33" s="25">
        <f>N29-SUM(N30:N32)</f>
        <v>-85269.039000000004</v>
      </c>
      <c r="O33" s="406">
        <f>O29-SUM(O30:O32)</f>
        <v>-103089.42199999999</v>
      </c>
      <c r="P33" s="406">
        <f>P29-SUM(P30:P32)-2</f>
        <v>-188358.614</v>
      </c>
      <c r="Q33" s="406">
        <f t="shared" ref="Q33:S33" si="6">Q29-SUM(Q30:Q32)</f>
        <v>-65545.070000000007</v>
      </c>
      <c r="R33" s="406">
        <f t="shared" si="6"/>
        <v>-253903.85199999998</v>
      </c>
      <c r="S33" s="406">
        <f t="shared" si="6"/>
        <v>-68866.811000000016</v>
      </c>
      <c r="T33" s="21">
        <f>T29-SUM(T31:T32)</f>
        <v>-322770.663</v>
      </c>
      <c r="U33" s="39"/>
      <c r="V33" s="25">
        <f>V29-SUM(V30:V32)+2</f>
        <v>67503.940999999992</v>
      </c>
      <c r="W33" s="406">
        <f>W29-SUM(W30:W32)</f>
        <v>-30488.870999999985</v>
      </c>
      <c r="X33" s="406">
        <f>X29-SUM(X30:X32)</f>
        <v>37013.070000000007</v>
      </c>
      <c r="Y33" s="406">
        <f t="shared" ref="Y33:AA33" si="7">Y29-SUM(Y30:Y32)</f>
        <v>-78064.998000000021</v>
      </c>
      <c r="Z33" s="406">
        <f t="shared" si="7"/>
        <v>-41051.928000000014</v>
      </c>
      <c r="AA33" s="406">
        <f t="shared" si="7"/>
        <v>73633.518999999971</v>
      </c>
      <c r="AB33" s="21">
        <f>AB29-SUM(AB31:AB32)</f>
        <v>32581.590999999957</v>
      </c>
      <c r="AC33" s="39"/>
      <c r="AD33" s="25">
        <f>AD29-SUM(AD30:AD32)</f>
        <v>-12568.662830000001</v>
      </c>
      <c r="AE33" s="406">
        <f>AE29-SUM(AE30:AE32)</f>
        <v>4206.2863300000063</v>
      </c>
      <c r="AF33" s="406">
        <f>AF29-SUM(AF30:AF32)-1</f>
        <v>-8363.3764999999948</v>
      </c>
      <c r="AG33" s="406">
        <f t="shared" ref="AG33:AI33" si="8">AG29-SUM(AG30:AG32)</f>
        <v>-27251.746279999999</v>
      </c>
      <c r="AH33" s="406">
        <f t="shared" si="8"/>
        <v>-35614.122779999998</v>
      </c>
      <c r="AI33" s="406">
        <f t="shared" si="8"/>
        <v>-72590.931629999992</v>
      </c>
      <c r="AJ33" s="21">
        <f>AJ29-SUM(AJ31:AJ32)</f>
        <v>-108205.05440999998</v>
      </c>
      <c r="AK33" s="39"/>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row>
    <row r="34" spans="1:82" s="14" customFormat="1" x14ac:dyDescent="0.25">
      <c r="A34" s="12"/>
      <c r="B34" s="12"/>
      <c r="C34" s="12"/>
      <c r="D34" s="753"/>
      <c r="E34" s="39"/>
      <c r="F34" s="697"/>
      <c r="G34" s="653"/>
      <c r="H34" s="653"/>
      <c r="I34" s="451"/>
      <c r="J34" s="451"/>
      <c r="K34" s="653"/>
      <c r="L34" s="341"/>
      <c r="M34" s="39"/>
      <c r="N34" s="439"/>
      <c r="O34" s="451"/>
      <c r="P34" s="451"/>
      <c r="Q34" s="451"/>
      <c r="R34" s="451"/>
      <c r="S34" s="451"/>
      <c r="T34" s="341"/>
      <c r="U34" s="39"/>
      <c r="V34" s="439"/>
      <c r="W34" s="451"/>
      <c r="X34" s="451"/>
      <c r="Y34" s="451"/>
      <c r="Z34" s="451"/>
      <c r="AA34" s="451"/>
      <c r="AB34" s="341"/>
      <c r="AC34" s="39"/>
      <c r="AD34" s="439"/>
      <c r="AE34" s="451"/>
      <c r="AF34" s="451"/>
      <c r="AG34" s="451"/>
      <c r="AH34" s="451"/>
      <c r="AI34" s="451"/>
      <c r="AJ34" s="341"/>
      <c r="AK34" s="39"/>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row>
    <row r="35" spans="1:82" x14ac:dyDescent="0.25">
      <c r="A35" s="6" t="s">
        <v>265</v>
      </c>
      <c r="B35" s="6"/>
      <c r="C35" s="6"/>
      <c r="D35" s="704">
        <f>Corporate!B33</f>
        <v>85</v>
      </c>
      <c r="E35" s="36"/>
      <c r="F35" s="643">
        <f>Corporate!D33</f>
        <v>-19717</v>
      </c>
      <c r="G35" s="586">
        <f>Corporate!E33</f>
        <v>-26755</v>
      </c>
      <c r="H35" s="586">
        <f>Corporate!F33</f>
        <v>-46472</v>
      </c>
      <c r="I35" s="457">
        <f>Corporate!G33</f>
        <v>-13228</v>
      </c>
      <c r="J35" s="457">
        <f>Corporate!H33</f>
        <v>-59700</v>
      </c>
      <c r="K35" s="586">
        <f>Corporate!I33</f>
        <v>-7613.1129999999976</v>
      </c>
      <c r="L35" s="343">
        <f>Corporate!J33</f>
        <v>-67313.112999999998</v>
      </c>
      <c r="M35" s="39"/>
      <c r="N35" s="489">
        <f>Corporate!L33</f>
        <v>-28756</v>
      </c>
      <c r="O35" s="457">
        <f>Corporate!M33</f>
        <v>-29802</v>
      </c>
      <c r="P35" s="457">
        <v>-58558</v>
      </c>
      <c r="Q35" s="457">
        <f>Corporate!O33</f>
        <v>-28922</v>
      </c>
      <c r="R35" s="457">
        <f>Corporate!P33</f>
        <v>-87480</v>
      </c>
      <c r="S35" s="457">
        <f>T35-R35</f>
        <v>-23545</v>
      </c>
      <c r="T35" s="343">
        <f>Corporate!R33</f>
        <v>-111025</v>
      </c>
      <c r="U35" s="39"/>
      <c r="V35" s="489">
        <f>Corporate!T33</f>
        <v>-12488</v>
      </c>
      <c r="W35" s="457">
        <f>X35-V35</f>
        <v>-15672</v>
      </c>
      <c r="X35" s="457">
        <f>Corporate!V33</f>
        <v>-28160</v>
      </c>
      <c r="Y35" s="457">
        <f>Z35-X35</f>
        <v>-24032</v>
      </c>
      <c r="Z35" s="457">
        <f>Corporate!X33</f>
        <v>-52192</v>
      </c>
      <c r="AA35" s="457">
        <f>AB35-Z35</f>
        <v>-23569</v>
      </c>
      <c r="AB35" s="343">
        <f>Corporate!Z33</f>
        <v>-75761</v>
      </c>
      <c r="AC35" s="39"/>
      <c r="AD35" s="489">
        <f>Corporate!AB33</f>
        <v>-12312</v>
      </c>
      <c r="AE35" s="457">
        <f>AF35-AD35</f>
        <v>-7212.0499999999993</v>
      </c>
      <c r="AF35" s="457">
        <f>Corporate!AD33</f>
        <v>-19524.05</v>
      </c>
      <c r="AG35" s="457">
        <f>AH35-AF35</f>
        <v>-8530.7230000000018</v>
      </c>
      <c r="AH35" s="457">
        <f>Corporate!AF33</f>
        <v>-28054.773000000001</v>
      </c>
      <c r="AI35" s="457">
        <f>AJ35-AH35</f>
        <v>-22184.974999999999</v>
      </c>
      <c r="AJ35" s="343">
        <f>Corporate!AH33</f>
        <v>-50239.748</v>
      </c>
      <c r="AK35" s="39"/>
    </row>
    <row r="36" spans="1:82" s="6" customFormat="1" ht="17.25" x14ac:dyDescent="0.4">
      <c r="A36" s="6" t="s">
        <v>207</v>
      </c>
      <c r="D36" s="769">
        <f>Corporate!B34</f>
        <v>0</v>
      </c>
      <c r="E36" s="36"/>
      <c r="F36" s="673">
        <v>0</v>
      </c>
      <c r="G36" s="674">
        <v>0</v>
      </c>
      <c r="H36" s="674">
        <v>0</v>
      </c>
      <c r="I36" s="763">
        <v>0</v>
      </c>
      <c r="J36" s="763">
        <v>0</v>
      </c>
      <c r="K36" s="674">
        <f t="shared" ref="K36" si="9">L36-J36</f>
        <v>0</v>
      </c>
      <c r="L36" s="764">
        <f>Corporate!J34</f>
        <v>0</v>
      </c>
      <c r="M36" s="39"/>
      <c r="N36" s="762">
        <f>Corporate!L34</f>
        <v>-336</v>
      </c>
      <c r="O36" s="763">
        <f t="shared" ref="O36" si="10">P36-N36</f>
        <v>-235</v>
      </c>
      <c r="P36" s="763">
        <f>Corporate!N34</f>
        <v>-571</v>
      </c>
      <c r="Q36" s="763">
        <f>Corporate!O34</f>
        <v>-592</v>
      </c>
      <c r="R36" s="763">
        <f>Corporate!P34</f>
        <v>-1163</v>
      </c>
      <c r="S36" s="763">
        <f t="shared" ref="S36" si="11">T36-R36</f>
        <v>-1721</v>
      </c>
      <c r="T36" s="764">
        <f>Corporate!R34</f>
        <v>-2884</v>
      </c>
      <c r="U36" s="39"/>
      <c r="V36" s="762">
        <f>Corporate!T34</f>
        <v>-194</v>
      </c>
      <c r="W36" s="763">
        <f>X36-V36</f>
        <v>89</v>
      </c>
      <c r="X36" s="763">
        <f>Corporate!V34</f>
        <v>-105</v>
      </c>
      <c r="Y36" s="763">
        <f>Z36-X36</f>
        <v>625</v>
      </c>
      <c r="Z36" s="674">
        <f>Corporate!X34</f>
        <v>520</v>
      </c>
      <c r="AA36" s="763">
        <f>AB36-Z36</f>
        <v>-824</v>
      </c>
      <c r="AB36" s="680">
        <f>Corporate!Z34</f>
        <v>-304</v>
      </c>
      <c r="AC36" s="39"/>
      <c r="AD36" s="762">
        <f>Corporate!AB34</f>
        <v>1320</v>
      </c>
      <c r="AE36" s="763">
        <f>AF36-AD36</f>
        <v>1071</v>
      </c>
      <c r="AF36" s="763">
        <f>Corporate!AD34</f>
        <v>2391</v>
      </c>
      <c r="AG36" s="763">
        <f>AH36-AF36</f>
        <v>923</v>
      </c>
      <c r="AH36" s="763">
        <f>Corporate!AF34</f>
        <v>3314</v>
      </c>
      <c r="AI36" s="763">
        <f>AJ36-AH36</f>
        <v>-2056</v>
      </c>
      <c r="AJ36" s="764">
        <f>Corporate!AH34</f>
        <v>1258</v>
      </c>
      <c r="AK36" s="39"/>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row>
    <row r="37" spans="1:82" x14ac:dyDescent="0.25">
      <c r="A37" s="89" t="s">
        <v>263</v>
      </c>
      <c r="B37" s="77"/>
      <c r="C37" s="77"/>
      <c r="D37" s="578">
        <f>D33-SUM(D35:D36)</f>
        <v>-30759.265999999992</v>
      </c>
      <c r="E37" s="12"/>
      <c r="F37" s="25">
        <f>F33-SUM(F35:F36)</f>
        <v>-29992.849543474978</v>
      </c>
      <c r="G37" s="406">
        <f>G33-SUM(G35:G36)</f>
        <v>-51216.414456525032</v>
      </c>
      <c r="H37" s="406">
        <f t="shared" ref="H37:I37" si="12">H33-SUM(H35:H36)</f>
        <v>-81209.26400000001</v>
      </c>
      <c r="I37" s="406">
        <f t="shared" si="12"/>
        <v>-74014.95199999999</v>
      </c>
      <c r="J37" s="406">
        <f>J33-SUM(J35:J36)-1</f>
        <v>-155225.46600000001</v>
      </c>
      <c r="K37" s="532">
        <f>K33-SUM(K35:K36)+1</f>
        <v>-71188.924000000072</v>
      </c>
      <c r="L37" s="21">
        <f>L33-SUM(L35:L36)-1</f>
        <v>-226415.39000000007</v>
      </c>
      <c r="M37" s="39"/>
      <c r="N37" s="25">
        <f>N33-SUM(N35:N36)</f>
        <v>-56177.039000000004</v>
      </c>
      <c r="O37" s="406">
        <f>O33-SUM(O35:O36)</f>
        <v>-73052.421999999991</v>
      </c>
      <c r="P37" s="406">
        <f t="shared" ref="P37:S37" si="13">P33-SUM(P35:P36)</f>
        <v>-129229.614</v>
      </c>
      <c r="Q37" s="406">
        <f t="shared" si="13"/>
        <v>-36031.070000000007</v>
      </c>
      <c r="R37" s="406">
        <f t="shared" si="13"/>
        <v>-165260.85199999998</v>
      </c>
      <c r="S37" s="406">
        <f t="shared" si="13"/>
        <v>-43600.811000000016</v>
      </c>
      <c r="T37" s="21">
        <f>T33-SUM(T35:T36)</f>
        <v>-208861.663</v>
      </c>
      <c r="U37" s="39"/>
      <c r="V37" s="25">
        <f>V33-SUM(V35:V36)</f>
        <v>80185.940999999992</v>
      </c>
      <c r="W37" s="406">
        <f>W33-SUM(W35:W36)</f>
        <v>-14905.870999999985</v>
      </c>
      <c r="X37" s="406">
        <f t="shared" ref="X37:AA37" si="14">X33-SUM(X35:X36)</f>
        <v>65278.070000000007</v>
      </c>
      <c r="Y37" s="406">
        <f t="shared" si="14"/>
        <v>-54657.998000000021</v>
      </c>
      <c r="Z37" s="406">
        <f t="shared" si="14"/>
        <v>10620.071999999986</v>
      </c>
      <c r="AA37" s="406">
        <f t="shared" si="14"/>
        <v>98026.518999999971</v>
      </c>
      <c r="AB37" s="21">
        <f>AB33-SUM(AB35:AB36)</f>
        <v>108646.59099999996</v>
      </c>
      <c r="AC37" s="39"/>
      <c r="AD37" s="25">
        <f>AD33-SUM(AD35:AD36)</f>
        <v>-1576.6628300000011</v>
      </c>
      <c r="AE37" s="406">
        <f>AE33-SUM(AE35:AE36)</f>
        <v>10347.336330000006</v>
      </c>
      <c r="AF37" s="406">
        <f t="shared" ref="AF37:AI37" si="15">AF33-SUM(AF35:AF36)</f>
        <v>8769.6735000000044</v>
      </c>
      <c r="AG37" s="406">
        <f t="shared" si="15"/>
        <v>-19644.023279999998</v>
      </c>
      <c r="AH37" s="406">
        <f t="shared" si="15"/>
        <v>-10873.349779999997</v>
      </c>
      <c r="AI37" s="406">
        <f t="shared" si="15"/>
        <v>-48349.956629999993</v>
      </c>
      <c r="AJ37" s="21">
        <f>AJ33-SUM(AJ35:AJ36)</f>
        <v>-59223.306409999983</v>
      </c>
      <c r="AK37" s="39"/>
    </row>
    <row r="38" spans="1:82" x14ac:dyDescent="0.25">
      <c r="A38" s="77"/>
      <c r="B38" s="77"/>
      <c r="C38" s="77"/>
      <c r="D38" s="771"/>
      <c r="E38" s="116"/>
      <c r="F38" s="772"/>
      <c r="G38" s="773"/>
      <c r="H38" s="773"/>
      <c r="I38" s="773"/>
      <c r="J38" s="773"/>
      <c r="K38" s="773"/>
      <c r="L38" s="774"/>
      <c r="M38" s="116"/>
      <c r="N38" s="772"/>
      <c r="O38" s="773"/>
      <c r="P38" s="773"/>
      <c r="Q38" s="773"/>
      <c r="R38" s="773"/>
      <c r="S38" s="773"/>
      <c r="T38" s="774"/>
      <c r="U38" s="462"/>
      <c r="V38" s="772"/>
      <c r="W38" s="773"/>
      <c r="X38" s="773"/>
      <c r="Y38" s="773"/>
      <c r="Z38" s="773"/>
      <c r="AA38" s="773"/>
      <c r="AB38" s="774"/>
      <c r="AC38" s="472"/>
      <c r="AD38" s="772"/>
      <c r="AE38" s="773"/>
      <c r="AF38" s="773"/>
      <c r="AG38" s="773"/>
      <c r="AH38" s="773"/>
      <c r="AI38" s="773"/>
      <c r="AJ38" s="774"/>
      <c r="AK38" s="77"/>
    </row>
    <row r="39" spans="1:82" s="14" customFormat="1" x14ac:dyDescent="0.25">
      <c r="A39" s="89" t="s">
        <v>25</v>
      </c>
      <c r="B39" s="89"/>
      <c r="C39" s="89"/>
      <c r="D39" s="757">
        <f>Corporate!B39+'Arnold Magnetic'!E47+'Sterno Group'!E48+'5.11 Tactical'!E47+'Velocity Outdoor'!E47+'Altor Solutions'!E48+'BOA Technology'!E47+PrimaLoft!E47+THP!E47</f>
        <v>2963844.3692296743</v>
      </c>
      <c r="E39" s="118"/>
      <c r="F39" s="439">
        <f>Corporate!D39+'Arnold Magnetic'!G47+'Sterno Group'!G48+'5.11 Tactical'!G47+'Velocity Outdoor'!G47+'Altor Solutions'!G48+'BOA Technology'!G47+Lugano!E47+PrimaLoft!G47+THP!G47</f>
        <v>3366947.818</v>
      </c>
      <c r="G39" s="451"/>
      <c r="H39" s="451">
        <f>Corporate!F39+'Arnold Magnetic'!I47+'Sterno Group'!I48+'5.11 Tactical'!I47+'Velocity Outdoor'!I47+'Altor Solutions'!I48+'BOA Technology'!I47+Lugano!G47+PrimaLoft!I47+THP!I47-1</f>
        <v>3274589.7779999999</v>
      </c>
      <c r="I39" s="451"/>
      <c r="J39" s="451">
        <f>Corporate!H39+'Arnold Magnetic'!K47+'Sterno Group'!K48+'5.11 Tactical'!K47+'Velocity Outdoor'!K47+'Altor Solutions'!K48+'BOA Technology'!K47+Lugano!I47+PrimaLoft!K47+THP!K47-2</f>
        <v>3247167.5150000001</v>
      </c>
      <c r="K39" s="451"/>
      <c r="L39" s="341">
        <f>Corporate!J39+'Arnold Magnetic'!M47+'Sterno Group'!M48+'5.11 Tactical'!M47+'Velocity Outdoor'!M47+'Altor Solutions'!M48+'BOA Technology'!M47+Lugano!K47+PrimaLoft!M47+THP!M47-1</f>
        <v>3039183.6370000001</v>
      </c>
      <c r="M39" s="118"/>
      <c r="N39" s="439">
        <f>Corporate!L39+'Arnold Magnetic'!O47+Ergobaby!E48+'Sterno Group'!O48+'5.11 Tactical'!O47+'Velocity Outdoor'!O47+'Altor Solutions'!O48+'BOA Technology'!O47+Lugano!M47+PrimaLoft!O47+THP!O47+2</f>
        <v>3292418.3219999997</v>
      </c>
      <c r="O39" s="451"/>
      <c r="P39" s="451">
        <f>Corporate!N39+'Arnold Magnetic'!Q47+'Sterno Group'!Q48+'5.11 Tactical'!Q47+'Velocity Outdoor'!Q47+'Altor Solutions'!Q48+'BOA Technology'!Q47+Lugano!O47+PrimaLoft!Q47+THP!Q47+1+Ergobaby!G48-2</f>
        <v>3233257</v>
      </c>
      <c r="Q39" s="451"/>
      <c r="R39" s="451">
        <f>Corporate!P39+'Arnold Magnetic'!S47+Ergobaby!I48+'Sterno Group'!S48+'5.11 Tactical'!S47+'Velocity Outdoor'!S47+'Altor Solutions'!S48+'BOA Technology'!S47+Lugano!Q47+PrimaLoft!S47+THP!S47-1</f>
        <v>3265997</v>
      </c>
      <c r="S39" s="451"/>
      <c r="T39" s="341">
        <f>Corporate!R39+'Arnold Magnetic'!U47+'Sterno Group'!U48+'5.11 Tactical'!U47+'Velocity Outdoor'!U47+'Altor Solutions'!U48+'BOA Technology'!U47+Lugano!S47+PrimaLoft!U47+THP!U47+2</f>
        <v>3297422.0520000001</v>
      </c>
      <c r="U39" s="464"/>
      <c r="V39" s="439">
        <f>Corporate!T39+'Arnold Magnetic'!W47+'Sterno Group'!W48+'5.11 Tactical'!W47+'Velocity Outdoor'!W47+'Altor Solutions'!W48+'BOA Technology'!W47+Lugano!U47+PrimaLoft!W47+Ergobaby!M48+'Marucci Sports'!E45</f>
        <v>3378294</v>
      </c>
      <c r="W39" s="451"/>
      <c r="X39" s="451">
        <f>Corporate!V39+'Arnold Magnetic'!Y47+Ergobaby!O48+'Sterno Group'!Y48+'5.11 Tactical'!Y47+'Velocity Outdoor'!Y47+'Altor Solutions'!Y48+'Marucci Sports'!G45+'BOA Technology'!Y47+Lugano!W47+PrimaLoft!Y47</f>
        <v>3377281</v>
      </c>
      <c r="Y39" s="451"/>
      <c r="Z39" s="451">
        <f>Corporate!X39+'Arnold Magnetic'!AA47+Ergobaby!Q48+'Sterno Group'!AA48+'5.11 Tactical'!AA47+'Velocity Outdoor'!AA47+'Altor Solutions'!AA48+'Marucci Sports'!I45+'BOA Technology'!AA47+Lugano!Y47+PrimaLoft!AA47</f>
        <v>3349055.5410000002</v>
      </c>
      <c r="AA39" s="451"/>
      <c r="AB39" s="341">
        <f>Corporate!Z39+'Arnold Magnetic'!AC47+Ergobaby!S48+'Sterno Group'!AC48+'5.11 Tactical'!AC47+'Velocity Outdoor'!AC47+'Altor Solutions'!AC48+'BOA Technology'!AC47+Lugano!AA47+PrimaLoft!AC47</f>
        <v>3325140.7989999996</v>
      </c>
      <c r="AC39" s="472"/>
      <c r="AD39" s="439">
        <f>Corporate!AB39+'Arnold Magnetic'!AE47+Ergobaby!U48+'Sterno Group'!AE48+'5.11 Tactical'!AE47+'Velocity Outdoor'!AE47+'Altor Solutions'!AE48+'Marucci Sports'!M45+'BOA Technology'!AE47+Lugano!AC47</f>
        <v>2854915</v>
      </c>
      <c r="AE39" s="451">
        <f>ROUNDDOWN(Corporate!AC39+'Arnold Magnetic'!AF47+Ergobaby!V48+'Sterno Group'!AF48+'5.11 Tactical'!AF47+'Velocity Outdoor'!AF47+'Altor Solutions'!AF48+'Marucci Sports'!N45+'BOA Technology'!AF47+Lugano!AE47,0)</f>
        <v>2916563</v>
      </c>
      <c r="AF39" s="451"/>
      <c r="AG39" s="451"/>
      <c r="AH39" s="451">
        <f>ROUNDUP(Corporate!AF39+'Arnold Magnetic'!AI47+Ergobaby!Y48+'Sterno Group'!AI48+'5.11 Tactical'!AI47+'Velocity Outdoor'!AI47+'Altor Solutions'!AI48+'Marucci Sports'!Q45+'BOA Technology'!AI47+Lugano!AG47+'Advanced Circuits'!H58+PrimaLoft!AF47,0)</f>
        <v>3542358</v>
      </c>
      <c r="AI39" s="451"/>
      <c r="AJ39" s="341">
        <f>ROUNDUP(Corporate!AH39+'Arnold Magnetic'!AK47+Ergobaby!AA48+'Sterno Group'!AK48+'5.11 Tactical'!AK47+'Velocity Outdoor'!AK47+'Altor Solutions'!AK48+'Marucci Sports'!S45+'BOA Technology'!AK47+Lugano!AI47+'Advanced Circuits'!J58+PrimaLoft!AH47,0)</f>
        <v>3493405</v>
      </c>
      <c r="AK39" s="89"/>
    </row>
    <row r="40" spans="1:82" x14ac:dyDescent="0.25">
      <c r="A40" s="89"/>
      <c r="B40" s="89"/>
      <c r="C40" s="89"/>
      <c r="D40" s="757"/>
      <c r="E40" s="118"/>
      <c r="F40" s="471"/>
      <c r="G40" s="470"/>
      <c r="H40" s="470"/>
      <c r="I40" s="451"/>
      <c r="J40" s="470"/>
      <c r="K40" s="470"/>
      <c r="L40" s="472"/>
      <c r="M40" s="118"/>
      <c r="N40" s="471"/>
      <c r="O40" s="470"/>
      <c r="P40" s="470"/>
      <c r="Q40" s="470"/>
      <c r="R40" s="470"/>
      <c r="S40" s="470"/>
      <c r="T40" s="472"/>
      <c r="U40" s="464"/>
      <c r="V40" s="471"/>
      <c r="W40" s="470"/>
      <c r="X40" s="470"/>
      <c r="Y40" s="470"/>
      <c r="Z40" s="470"/>
      <c r="AA40" s="470"/>
      <c r="AB40" s="472"/>
      <c r="AC40" s="472"/>
      <c r="AD40" s="471"/>
      <c r="AE40" s="470"/>
      <c r="AF40" s="470"/>
      <c r="AG40" s="470"/>
      <c r="AH40" s="470"/>
      <c r="AI40" s="470"/>
      <c r="AJ40" s="472"/>
      <c r="AK40" s="89"/>
    </row>
    <row r="41" spans="1:82" x14ac:dyDescent="0.25">
      <c r="A41" s="77" t="s">
        <v>26</v>
      </c>
      <c r="B41" s="89"/>
      <c r="C41" s="89"/>
      <c r="D41" s="770">
        <f>Corporate!B41+'Arnold Magnetic'!E49+'Sterno Group'!E50+'5.11 Tactical'!E49+'Velocity Outdoor'!E49+'Altor Solutions'!E50+'BOA Technology'!E49+Lugano!C49+PrimaLoft!E49+THP!E49</f>
        <v>0</v>
      </c>
      <c r="E41" s="118"/>
      <c r="F41" s="471">
        <v>0</v>
      </c>
      <c r="G41" s="470"/>
      <c r="H41" s="470">
        <v>0</v>
      </c>
      <c r="I41" s="470"/>
      <c r="J41" s="470">
        <v>0</v>
      </c>
      <c r="K41" s="449"/>
      <c r="L41" s="472">
        <v>0</v>
      </c>
      <c r="M41" s="118"/>
      <c r="N41" s="788">
        <v>0</v>
      </c>
      <c r="O41" s="677"/>
      <c r="P41" s="677">
        <f>Corporate!N41+'Arnold Magnetic'!Q49+Ergobaby!G50+'Sterno Group'!Q50+'5.11 Tactical'!Q49+'Velocity Outdoor'!Q49+'Altor Solutions'!Q50+'BOA Technology'!Q49+Lugano!O49+PrimaLoft!Q49+THP!Q49+2</f>
        <v>0</v>
      </c>
      <c r="Q41" s="677"/>
      <c r="R41" s="677">
        <f>Corporate!P41+'Arnold Magnetic'!S49+Ergobaby!I50+'Sterno Group'!S50+'5.11 Tactical'!S49+'Velocity Outdoor'!S49+'Altor Solutions'!S50+'BOA Technology'!S49+Lugano!Q49+PrimaLoft!S49+THP!S49</f>
        <v>0</v>
      </c>
      <c r="S41" s="677"/>
      <c r="T41" s="789">
        <f>Corporate!R41+'Arnold Magnetic'!U49+'Sterno Group'!U50+'5.11 Tactical'!U49+'Velocity Outdoor'!U49+'Altor Solutions'!U50+'BOA Technology'!U49+Lugano!S49+PrimaLoft!U49+THP!U49-1</f>
        <v>0</v>
      </c>
      <c r="U41" s="464"/>
      <c r="V41" s="788">
        <f>Corporate!T41+'Arnold Magnetic'!W49+Ergobaby!M50+'Sterno Group'!W50+'5.11 Tactical'!W49+'Velocity Outdoor'!W49+'Altor Solutions'!W50+'Marucci Sports'!E47+'BOA Technology'!W49+Lugano!U49+PrimaLoft!W49-2</f>
        <v>0</v>
      </c>
      <c r="W41" s="449"/>
      <c r="X41" s="451">
        <f>Corporate!V41+'Arnold Magnetic'!Y49+Ergobaby!O50+'Sterno Group'!Y50+'5.11 Tactical'!Y49+'Velocity Outdoor'!Y49+'Altor Solutions'!Y50+'Marucci Sports'!G47+'BOA Technology'!Y49+Lugano!W49+PrimaLoft!Y49</f>
        <v>0</v>
      </c>
      <c r="Y41" s="470"/>
      <c r="Z41" s="584">
        <v>0</v>
      </c>
      <c r="AA41" s="449"/>
      <c r="AB41" s="37">
        <v>0</v>
      </c>
      <c r="AC41" s="472"/>
      <c r="AD41" s="471">
        <f>Corporate!AB41+'Arnold Magnetic'!AE49+Ergobaby!U50+'Sterno Group'!AE50+'5.11 Tactical'!AE49+'Velocity Outdoor'!AE49+'Altor Solutions'!AE50+'Marucci Sports'!M47+'BOA Technology'!AE49+Lugano!AC49</f>
        <v>0</v>
      </c>
      <c r="AE41" s="449">
        <f>Corporate!AC41+'Arnold Magnetic'!AF49+Ergobaby!V50+'Sterno Group'!AF50+'5.11 Tactical'!AF49+'Velocity Outdoor'!AF49+'Altor Solutions'!AF50+'Marucci Sports'!N47+'BOA Technology'!AF49+Lugano!AE49</f>
        <v>0</v>
      </c>
      <c r="AF41" s="470"/>
      <c r="AG41" s="470"/>
      <c r="AH41" s="449">
        <f>Corporate!AF41+'Arnold Magnetic'!AI49+Ergobaby!Y50+'Sterno Group'!AI50+'5.11 Tactical'!AI49+'Velocity Outdoor'!AI49+'Altor Solutions'!AI50+'Marucci Sports'!Q47+'BOA Technology'!AI49+Lugano!AG49+'Advanced Circuits'!H60+PrimaLoft!AF49</f>
        <v>0</v>
      </c>
      <c r="AI41" s="449"/>
      <c r="AJ41" s="37">
        <f>Corporate!AH41+'Arnold Magnetic'!AK49+Ergobaby!AA50+'Sterno Group'!AK50+'5.11 Tactical'!AK49+'Velocity Outdoor'!AK49+'Altor Solutions'!AK50+'Marucci Sports'!S47+'BOA Technology'!AK49+Lugano!AI49+'Advanced Circuits'!J60+PrimaLoft!AH49</f>
        <v>0</v>
      </c>
      <c r="AK41" s="89"/>
    </row>
    <row r="42" spans="1:82" x14ac:dyDescent="0.25">
      <c r="A42" s="6" t="s">
        <v>27</v>
      </c>
      <c r="B42" s="89"/>
      <c r="C42" s="89"/>
      <c r="D42" s="770">
        <f>Corporate!B42</f>
        <v>1860248.49483</v>
      </c>
      <c r="E42" s="118"/>
      <c r="F42" s="471">
        <f>Corporate!D42</f>
        <v>1860064.0025113919</v>
      </c>
      <c r="G42" s="470"/>
      <c r="H42" s="470">
        <f>Corporate!F42</f>
        <v>1857036</v>
      </c>
      <c r="I42" s="470"/>
      <c r="J42" s="470">
        <f>Corporate!H42</f>
        <v>1878852.4248299999</v>
      </c>
      <c r="K42" s="449"/>
      <c r="L42" s="472">
        <f>Corporate!J42</f>
        <v>1877316.50183</v>
      </c>
      <c r="M42" s="118"/>
      <c r="N42" s="471">
        <f>Corporate!L42</f>
        <v>1715982</v>
      </c>
      <c r="O42" s="470"/>
      <c r="P42" s="470">
        <f>Corporate!N42</f>
        <v>1722084</v>
      </c>
      <c r="Q42" s="470"/>
      <c r="R42" s="470">
        <f>Corporate!P42</f>
        <v>1776187</v>
      </c>
      <c r="S42" s="449"/>
      <c r="T42" s="472">
        <f>Corporate!R42</f>
        <v>1774290</v>
      </c>
      <c r="U42" s="464"/>
      <c r="V42" s="471">
        <f>Corporate!T42</f>
        <v>1685570</v>
      </c>
      <c r="W42" s="449"/>
      <c r="X42" s="584">
        <f>Corporate!V42</f>
        <v>1767673</v>
      </c>
      <c r="Y42" s="470"/>
      <c r="Z42" s="584">
        <f>Corporate!X42</f>
        <v>1775776</v>
      </c>
      <c r="AA42" s="449"/>
      <c r="AB42" s="37">
        <f>Corporate!Z42</f>
        <v>1671879</v>
      </c>
      <c r="AC42" s="472"/>
      <c r="AD42" s="471">
        <f>Corporate!AB42</f>
        <v>1300000</v>
      </c>
      <c r="AE42" s="449">
        <f>Corporate!AC42</f>
        <v>1285747</v>
      </c>
      <c r="AF42" s="470"/>
      <c r="AG42" s="470"/>
      <c r="AH42" s="449">
        <f>Corporate!AF42</f>
        <v>1810500</v>
      </c>
      <c r="AI42" s="449"/>
      <c r="AJ42" s="37">
        <f>Corporate!AH42</f>
        <v>1824468</v>
      </c>
      <c r="AK42" s="89"/>
    </row>
    <row r="43" spans="1:82" s="163" customFormat="1" x14ac:dyDescent="0.25">
      <c r="A43" s="6" t="s">
        <v>28</v>
      </c>
      <c r="B43" s="222"/>
      <c r="C43" s="222"/>
      <c r="D43" s="756">
        <f>Corporate!B43+'Arnold Magnetic'!E50+'Sterno Group'!E51+'5.11 Tactical'!E50+'Velocity Outdoor'!E50+'Altor Solutions'!E51+'BOA Technology'!E50+Lugano!C50+PrimaLoft!E50+THP!E50-5</f>
        <v>573199.27778547315</v>
      </c>
      <c r="E43" s="775"/>
      <c r="F43" s="490">
        <f>Corporate!D43+'Arnold Magnetic'!G50+'Sterno Group'!G51+'5.11 Tactical'!G50+'Velocity Outdoor'!G50+'Altor Solutions'!G51+'BOA Technology'!G50+Lugano!E50+PrimaLoft!G50+THP!G50-2</f>
        <v>993238.56665860792</v>
      </c>
      <c r="G43" s="458"/>
      <c r="H43" s="458">
        <f>Corporate!F43+'Arnold Magnetic'!I50+'Sterno Group'!I51+'5.11 Tactical'!I50+'Velocity Outdoor'!I50+'Altor Solutions'!I51+'BOA Technology'!I50+Lugano!G50+PrimaLoft!I50+THP!I50-6</f>
        <v>1006823.7441699997</v>
      </c>
      <c r="I43" s="458"/>
      <c r="J43" s="458">
        <f>Corporate!H43+'Arnold Magnetic'!K50+Ergobaby!A51+'Sterno Group'!K51+'5.11 Tactical'!K50+'Velocity Outdoor'!K50+'Altor Solutions'!K51+'BOA Technology'!K50+Lugano!I50+PrimaLoft!K50+THP!K50-6</f>
        <v>1049949.3023399999</v>
      </c>
      <c r="K43" s="425"/>
      <c r="L43" s="344">
        <f>Corporate!J43+'Arnold Magnetic'!M50+'Sterno Group'!M51+'5.11 Tactical'!M50+'Velocity Outdoor'!M50+'Altor Solutions'!M51+'BOA Technology'!M50+Lugano!K50+PrimaLoft!M50+THP!M50-5</f>
        <v>588204.29033999995</v>
      </c>
      <c r="M43" s="775"/>
      <c r="N43" s="490">
        <f>Corporate!L43+'Arnold Magnetic'!O50+Ergobaby!E51+'Sterno Group'!O51+'5.11 Tactical'!O50+'Velocity Outdoor'!O50+'Altor Solutions'!O51+'BOA Technology'!O50+Lugano!M50+PrimaLoft!O50+THP!O50+3</f>
        <v>836164.72499999998</v>
      </c>
      <c r="O43" s="458"/>
      <c r="P43" s="458">
        <f>Corporate!N43+'Arnold Magnetic'!Q50+'Sterno Group'!Q51+'5.11 Tactical'!Q50+'Velocity Outdoor'!Q50+'Altor Solutions'!Q51+'BOA Technology'!Q50+Lugano!O50+PrimaLoft!Q50+THP!Q50+Ergobaby!G51-6</f>
        <v>885809</v>
      </c>
      <c r="Q43" s="458"/>
      <c r="R43" s="458">
        <f>Corporate!P43+'Arnold Magnetic'!S50+Ergobaby!I51+'Sterno Group'!S51+'5.11 Tactical'!S50+'Velocity Outdoor'!S50+'Altor Solutions'!S51+'BOA Technology'!S50+Lugano!Q50+PrimaLoft!S50+THP!S50-3</f>
        <v>929809</v>
      </c>
      <c r="S43" s="425"/>
      <c r="T43" s="344">
        <f>Corporate!R43+'Arnold Magnetic'!U50+'Sterno Group'!U51+'5.11 Tactical'!U50+'Velocity Outdoor'!U50+'Altor Solutions'!U51+'BOA Technology'!U50+Lugano!S50+PrimaLoft!U50+THP!U50-2</f>
        <v>992557.25899999996</v>
      </c>
      <c r="U43" s="787"/>
      <c r="V43" s="490">
        <f>Corporate!T43+'Arnold Magnetic'!W50+Ergobaby!M51+'Sterno Group'!W51+'5.11 Tactical'!W50+'Velocity Outdoor'!W50+'Altor Solutions'!W51+'BOA Technology'!W50+Lugano!U50+PrimaLoft!W50+3+'Marucci Sports'!E48</f>
        <v>723215</v>
      </c>
      <c r="W43" s="425"/>
      <c r="X43" s="458">
        <f>X44-X42</f>
        <v>714739</v>
      </c>
      <c r="Y43" s="458"/>
      <c r="Z43" s="458">
        <f>Z44-Z42</f>
        <v>780463.03203000035</v>
      </c>
      <c r="AA43" s="425"/>
      <c r="AB43" s="193">
        <f>AB44-AB42</f>
        <v>796837.04003000027</v>
      </c>
      <c r="AC43" s="472"/>
      <c r="AD43" s="490">
        <f>Corporate!AB43+'Arnold Magnetic'!AE50+Ergobaby!U51+'Sterno Group'!AE51+'5.11 Tactical'!AE50+'Velocity Outdoor'!AE50+'Altor Solutions'!AE51+'Marucci Sports'!M48+'BOA Technology'!AE50+Lugano!AC50</f>
        <v>567173</v>
      </c>
      <c r="AE43" s="425">
        <f>Corporate!AC43+'Arnold Magnetic'!AF50+Ergobaby!V51+'Sterno Group'!AF51+'5.11 Tactical'!AF50+'Velocity Outdoor'!AF50+'Altor Solutions'!AF51+'Marucci Sports'!N48+'BOA Technology'!AF50+Lugano!AE50</f>
        <v>618409</v>
      </c>
      <c r="AF43" s="458"/>
      <c r="AG43" s="458"/>
      <c r="AH43" s="425">
        <f>Corporate!AF43+'Arnold Magnetic'!AI50+Ergobaby!Y51+'Sterno Group'!AI51+'5.11 Tactical'!AI50+'Velocity Outdoor'!AI50+'Altor Solutions'!AI51+'Marucci Sports'!Q48+'BOA Technology'!AI50+Lugano!AG50+'Advanced Circuits'!H61+PrimaLoft!AF50</f>
        <v>712150</v>
      </c>
      <c r="AI43" s="425"/>
      <c r="AJ43" s="193">
        <f>Corporate!AH43+'Arnold Magnetic'!AK50+Ergobaby!AA51+'Sterno Group'!AK51+'5.11 Tactical'!AK50+'Velocity Outdoor'!AK50+'Altor Solutions'!AK51+'Marucci Sports'!S48+'BOA Technology'!AK50+Lugano!AI50+'Advanced Circuits'!J61+PrimaLoft!AH50</f>
        <v>740000</v>
      </c>
      <c r="AK43" s="222"/>
    </row>
    <row r="44" spans="1:82" s="14" customFormat="1" x14ac:dyDescent="0.25">
      <c r="A44" s="89" t="s">
        <v>29</v>
      </c>
      <c r="B44" s="89"/>
      <c r="C44" s="89"/>
      <c r="D44" s="753">
        <f>Corporate!B44+'Arnold Magnetic'!E51+'Sterno Group'!E52+'5.11 Tactical'!E51+'Velocity Outdoor'!E51+'Altor Solutions'!E52+'BOA Technology'!E51+Lugano!C51+PrimaLoft!E51+THP!E51-5</f>
        <v>2433447.7726154733</v>
      </c>
      <c r="E44" s="118"/>
      <c r="F44" s="439">
        <f>Corporate!D44+'Arnold Magnetic'!G51+'Sterno Group'!G52+'5.11 Tactical'!G51+'Velocity Outdoor'!G51+'Altor Solutions'!G52+'BOA Technology'!G51+Lugano!E51+PrimaLoft!G51+THP!G51-2</f>
        <v>2853302.5691700005</v>
      </c>
      <c r="G44" s="451"/>
      <c r="H44" s="451">
        <f>Corporate!F44+'Arnold Magnetic'!I51+'Sterno Group'!I52+'5.11 Tactical'!I51+'Velocity Outdoor'!I51+'Altor Solutions'!I52+'BOA Technology'!I51+Lugano!G51+PrimaLoft!I51+THP!I51-6</f>
        <v>2863859.7441699998</v>
      </c>
      <c r="I44" s="451"/>
      <c r="J44" s="451">
        <f>Corporate!H44+'Arnold Magnetic'!K51+'Sterno Group'!K52+'5.11 Tactical'!K51+'Velocity Outdoor'!K51+'Altor Solutions'!K52+'BOA Technology'!K51+Lugano!I51+PrimaLoft!K51+THP!K51-6</f>
        <v>2928801.7271699999</v>
      </c>
      <c r="K44" s="423"/>
      <c r="L44" s="341">
        <f>Corporate!J44+'Arnold Magnetic'!M51+'Sterno Group'!M52+'5.11 Tactical'!M51+'Velocity Outdoor'!M51+'Altor Solutions'!M52+'BOA Technology'!M51+Lugano!K51+PrimaLoft!M51+THP!M51-5</f>
        <v>2465520.7921699998</v>
      </c>
      <c r="M44" s="118"/>
      <c r="N44" s="439">
        <f>Corporate!L44+'Arnold Magnetic'!O51+Ergobaby!E52+'Sterno Group'!O52+'5.11 Tactical'!O51+'Velocity Outdoor'!O51+'Altor Solutions'!O52+'BOA Technology'!O51+Lugano!M51+PrimaLoft!O51+THP!O51+2</f>
        <v>2552146.7180000003</v>
      </c>
      <c r="O44" s="451"/>
      <c r="P44" s="451">
        <f>Corporate!N44+'Arnold Magnetic'!Q51+'Sterno Group'!Q52+'5.11 Tactical'!Q51+'Velocity Outdoor'!Q51+'Altor Solutions'!Q52+'BOA Technology'!Q51+Lugano!O51+PrimaLoft!Q51+THP!Q51-4+Ergobaby!G52</f>
        <v>2607893</v>
      </c>
      <c r="Q44" s="451"/>
      <c r="R44" s="451">
        <f>Corporate!P44+'Arnold Magnetic'!S51+Ergobaby!I52+'Sterno Group'!S52+'5.11 Tactical'!S51+'Velocity Outdoor'!S51+'Altor Solutions'!S52+'BOA Technology'!S51+Lugano!Q51+PrimaLoft!S51+THP!S51-3</f>
        <v>2705996</v>
      </c>
      <c r="S44" s="423"/>
      <c r="T44" s="341">
        <f>Corporate!R44+'Arnold Magnetic'!U51+'Sterno Group'!U52+'5.11 Tactical'!U51+'Velocity Outdoor'!U51+'Altor Solutions'!U52+'BOA Technology'!U51+Lugano!S51+PrimaLoft!U51+THP!U51-2</f>
        <v>2766848.2590000001</v>
      </c>
      <c r="U44" s="464"/>
      <c r="V44" s="439">
        <f>Corporate!T44+'Arnold Magnetic'!W51+'Sterno Group'!W52+'5.11 Tactical'!W51+'Velocity Outdoor'!W51+'Altor Solutions'!W52+'BOA Technology'!W51+Lugano!U51+PrimaLoft!W51+1+'Marucci Sports'!E49+Ergobaby!M52</f>
        <v>2408785</v>
      </c>
      <c r="W44" s="423"/>
      <c r="X44" s="423">
        <f>Corporate!V44+'Arnold Magnetic'!Y51+Ergobaby!O52+'Sterno Group'!Y52+'5.11 Tactical'!Y51+'Velocity Outdoor'!Y51+'Altor Solutions'!Y52+'Marucci Sports'!G49+'BOA Technology'!Y51+Lugano!W51+PrimaLoft!Y51</f>
        <v>2482412</v>
      </c>
      <c r="Y44" s="451"/>
      <c r="Z44" s="423">
        <f>Corporate!X44+'Arnold Magnetic'!AA51+Ergobaby!Q52+'Sterno Group'!AA52+'5.11 Tactical'!AA51+'Velocity Outdoor'!AA51+'Altor Solutions'!AA52+'Marucci Sports'!I49+'BOA Technology'!AA51+Lugano!Y51+PrimaLoft!AA51</f>
        <v>2556239.0320300004</v>
      </c>
      <c r="AA44" s="423"/>
      <c r="AB44" s="40">
        <f>Corporate!Z44+'Arnold Magnetic'!AC51+Ergobaby!S52+'Sterno Group'!AC52+'5.11 Tactical'!AC51+'Velocity Outdoor'!AC51+'Altor Solutions'!AC52+'BOA Technology'!AC51+Lugano!AA51+PrimaLoft!AC51</f>
        <v>2468716.0400300003</v>
      </c>
      <c r="AC44" s="472"/>
      <c r="AD44" s="439">
        <f>Corporate!AB44+'Arnold Magnetic'!AE51+Ergobaby!U52+'Sterno Group'!AE52+'5.11 Tactical'!AE51+'Velocity Outdoor'!AE51+'Altor Solutions'!AE52+'Marucci Sports'!M49+'BOA Technology'!AE51+Lugano!AC51</f>
        <v>1867173</v>
      </c>
      <c r="AE44" s="423">
        <f>AE42+AE43</f>
        <v>1904156</v>
      </c>
      <c r="AF44" s="451"/>
      <c r="AG44" s="451"/>
      <c r="AH44" s="423">
        <f>AH42+AH43</f>
        <v>2522650</v>
      </c>
      <c r="AI44" s="423"/>
      <c r="AJ44" s="40">
        <f>AJ42+AJ43</f>
        <v>2564468</v>
      </c>
      <c r="AK44" s="89"/>
    </row>
    <row r="45" spans="1:82" s="14" customFormat="1" x14ac:dyDescent="0.25">
      <c r="A45" s="89"/>
      <c r="B45" s="89"/>
      <c r="C45" s="89"/>
      <c r="D45" s="753"/>
      <c r="E45" s="118"/>
      <c r="F45" s="439"/>
      <c r="G45" s="451"/>
      <c r="H45" s="451"/>
      <c r="I45" s="451"/>
      <c r="J45" s="451"/>
      <c r="K45" s="423"/>
      <c r="L45" s="341"/>
      <c r="M45" s="118"/>
      <c r="N45" s="439"/>
      <c r="O45" s="451"/>
      <c r="P45" s="451"/>
      <c r="Q45" s="451"/>
      <c r="R45" s="451"/>
      <c r="S45" s="423"/>
      <c r="T45" s="341"/>
      <c r="U45" s="464"/>
      <c r="V45" s="439"/>
      <c r="W45" s="423"/>
      <c r="X45" s="451"/>
      <c r="Y45" s="451"/>
      <c r="Z45" s="451"/>
      <c r="AA45" s="423"/>
      <c r="AB45" s="40"/>
      <c r="AC45" s="472"/>
      <c r="AD45" s="439"/>
      <c r="AE45" s="423"/>
      <c r="AF45" s="451"/>
      <c r="AG45" s="451"/>
      <c r="AH45" s="423"/>
      <c r="AI45" s="423"/>
      <c r="AJ45" s="40"/>
      <c r="AK45" s="89"/>
    </row>
    <row r="46" spans="1:82" x14ac:dyDescent="0.25">
      <c r="A46" s="77" t="s">
        <v>30</v>
      </c>
      <c r="B46" s="77"/>
      <c r="C46" s="77"/>
      <c r="D46" s="755">
        <f>Corporate!B48+'Arnold Magnetic'!E53+'Sterno Group'!E54+'5.11 Tactical'!E53+'Velocity Outdoor'!E53+'Altor Solutions'!E54+'BOA Technology'!E53+Lugano!C53+PrimaLoft!E53+THP!E53+5</f>
        <v>400705.44157669612</v>
      </c>
      <c r="E46" s="116"/>
      <c r="F46" s="489">
        <f>Corporate!D48+'Arnold Magnetic'!G53+'Sterno Group'!G54+'5.11 Tactical'!G53+'Velocity Outdoor'!G53+'Altor Solutions'!G54+'BOA Technology'!G53+Lugano!E53+PrimaLoft!G53+THP!G53</f>
        <v>680734.25022000005</v>
      </c>
      <c r="G46" s="457"/>
      <c r="H46" s="457">
        <f>Corporate!F48+'Arnold Magnetic'!I53+'Sterno Group'!I54+'5.11 Tactical'!I53+'Velocity Outdoor'!I53+'Altor Solutions'!I54+'BOA Technology'!I53+Lugano!G53+PrimaLoft!I53+THP!I53+5</f>
        <v>601880.03421999991</v>
      </c>
      <c r="I46" s="457"/>
      <c r="J46" s="457">
        <f>Corporate!H48+'Arnold Magnetic'!K53+'Sterno Group'!K54+'5.11 Tactical'!K53+'Velocity Outdoor'!K53+'Altor Solutions'!K54+'BOA Technology'!K53+Lugano!I53+PrimaLoft!K53+THP!K53+4</f>
        <v>519216.78821999999</v>
      </c>
      <c r="K46" s="424"/>
      <c r="L46" s="343">
        <f>Corporate!J48+'Arnold Magnetic'!M53+'Sterno Group'!M54+'5.11 Tactical'!M53+'Velocity Outdoor'!M53+'Altor Solutions'!M54+'BOA Technology'!M53+Lugano!K53+PrimaLoft!M53+THP!M53+4</f>
        <v>442023.84521999996</v>
      </c>
      <c r="M46" s="116"/>
      <c r="N46" s="489">
        <f>Corporate!L48+'Arnold Magnetic'!O53+Ergobaby!E54+'Sterno Group'!O54+'5.11 Tactical'!O53+'Velocity Outdoor'!O53+'Altor Solutions'!O54+'BOA Technology'!O53+Lugano!M53+PrimaLoft!O53+THP!O53</f>
        <v>799718.17099999997</v>
      </c>
      <c r="O46" s="457"/>
      <c r="P46" s="457">
        <f>Corporate!N48+'Arnold Magnetic'!Q53+'Sterno Group'!Q54+'5.11 Tactical'!Q53+'Velocity Outdoor'!Q53+'Altor Solutions'!Q54+'BOA Technology'!Q53+Lugano!O53+PrimaLoft!Q53+THP!Q53+3+Ergobaby!G54</f>
        <v>711344</v>
      </c>
      <c r="Q46" s="457"/>
      <c r="R46" s="457">
        <f>Corporate!P48+'Arnold Magnetic'!S53+Ergobaby!I54+'Sterno Group'!S54+'5.11 Tactical'!S53+'Velocity Outdoor'!S53+'Altor Solutions'!S54+'BOA Technology'!S53+Lugano!Q53+PrimaLoft!S53+THP!S53+2</f>
        <v>672224</v>
      </c>
      <c r="S46" s="424"/>
      <c r="T46" s="343">
        <f>Corporate!R48+'Arnold Magnetic'!U53+'Sterno Group'!U54+'5.11 Tactical'!U53+'Velocity Outdoor'!U53+'Altor Solutions'!U54+'BOA Technology'!U53+Lugano!S53+PrimaLoft!U53+THP!U53+4</f>
        <v>678620</v>
      </c>
      <c r="U46" s="462"/>
      <c r="V46" s="489">
        <f>Corporate!T48+'Arnold Magnetic'!W53+'Sterno Group'!W54+'5.11 Tactical'!W53+'Velocity Outdoor'!W53+'Altor Solutions'!W54+'BOA Technology'!W53+Lugano!U53+PrimaLoft!W53+Ergobaby!M54+'Marucci Sports'!E51-1</f>
        <v>930385</v>
      </c>
      <c r="W46" s="424"/>
      <c r="X46" s="424">
        <f>Corporate!V48+'Arnold Magnetic'!Y53+Ergobaby!O54+'Sterno Group'!Y54+'5.11 Tactical'!Y53+'Velocity Outdoor'!Y53+'Altor Solutions'!Y54+'Marucci Sports'!G51+'BOA Technology'!Y53+Lugano!W53+PrimaLoft!Y53</f>
        <v>863719</v>
      </c>
      <c r="Y46" s="457"/>
      <c r="Z46" s="424">
        <f>Corporate!X48+'Arnold Magnetic'!AA53+Ergobaby!Q54+'Sterno Group'!AA54+'5.11 Tactical'!AA53+'Velocity Outdoor'!AA53+'Altor Solutions'!AA54+'Marucci Sports'!I51+'BOA Technology'!AA53+Lugano!Y53+PrimaLoft!AA53+0.5</f>
        <v>782117.97601579782</v>
      </c>
      <c r="AA46" s="424"/>
      <c r="AB46" s="86">
        <f>Corporate!Z48+'Arnold Magnetic'!AC53+Ergobaby!S54+'Sterno Group'!AC54+'5.11 Tactical'!AC53+'Velocity Outdoor'!AC53+'Altor Solutions'!AC54+'BOA Technology'!AC53+Lugano!AA53+PrimaLoft!AC53</f>
        <v>929659.76791579789</v>
      </c>
      <c r="AC46" s="472"/>
      <c r="AD46" s="489">
        <f>Corporate!AB48+'Arnold Magnetic'!AE53+Ergobaby!U54+'Sterno Group'!AE54+'5.11 Tactical'!AE53+'Velocity Outdoor'!AE53+'Altor Solutions'!AE54+'Marucci Sports'!M51+'BOA Technology'!AE53+Lugano!AC53</f>
        <v>944073</v>
      </c>
      <c r="AE46" s="424">
        <f>Corporate!AC48+'Arnold Magnetic'!AF53+Ergobaby!V54+'Sterno Group'!AF54+'5.11 Tactical'!AF53+'Velocity Outdoor'!AF53+'Altor Solutions'!AF54+'Marucci Sports'!N51+'BOA Technology'!AF53+Lugano!AE53</f>
        <v>972418.07701999974</v>
      </c>
      <c r="AF46" s="457"/>
      <c r="AG46" s="457"/>
      <c r="AH46" s="424">
        <f>Corporate!AF48+'Arnold Magnetic'!AI53+Ergobaby!Y54+'Sterno Group'!AI54+'5.11 Tactical'!AI53+'Velocity Outdoor'!AI53+'Altor Solutions'!AI54+'Marucci Sports'!Q51+'BOA Technology'!AI53+Lugano!AG53+'Advanced Circuits'!H64+PrimaLoft!AF53</f>
        <v>948605</v>
      </c>
      <c r="AI46" s="424"/>
      <c r="AJ46" s="86">
        <f>Corporate!AH48+'Arnold Magnetic'!AK53+Ergobaby!AA54+'Sterno Group'!AK54+'5.11 Tactical'!AK53+'Velocity Outdoor'!AK53+'Altor Solutions'!AK54+'Marucci Sports'!S51+'BOA Technology'!AK53+Lugano!AI53+'Advanced Circuits'!J64+PrimaLoft!AH53</f>
        <v>877577</v>
      </c>
      <c r="AK46" s="77"/>
    </row>
    <row r="47" spans="1:82" s="163" customFormat="1" x14ac:dyDescent="0.25">
      <c r="A47" s="77" t="s">
        <v>31</v>
      </c>
      <c r="B47" s="115"/>
      <c r="C47" s="115"/>
      <c r="D47" s="756">
        <f>Corporate!B46</f>
        <v>129691.155393304</v>
      </c>
      <c r="E47" s="190"/>
      <c r="F47" s="490">
        <f>Corporate!D46</f>
        <v>-167091</v>
      </c>
      <c r="G47" s="458"/>
      <c r="H47" s="458">
        <f>Corporate!F46</f>
        <v>-191150</v>
      </c>
      <c r="I47" s="458"/>
      <c r="J47" s="458">
        <f>Corporate!H46</f>
        <v>-200851</v>
      </c>
      <c r="K47" s="425"/>
      <c r="L47" s="344">
        <f>Corporate!J46</f>
        <v>131639</v>
      </c>
      <c r="M47" s="190"/>
      <c r="N47" s="490">
        <f>Corporate!L46</f>
        <v>-59447</v>
      </c>
      <c r="O47" s="458"/>
      <c r="P47" s="458">
        <f>Corporate!N46</f>
        <v>-85980</v>
      </c>
      <c r="Q47" s="458"/>
      <c r="R47" s="458">
        <f>Corporate!P46</f>
        <v>-112223</v>
      </c>
      <c r="S47" s="425"/>
      <c r="T47" s="344">
        <f>Corporate!R46</f>
        <v>-148046</v>
      </c>
      <c r="U47" s="463"/>
      <c r="V47" s="490">
        <f>Corporate!T46</f>
        <v>39124</v>
      </c>
      <c r="W47" s="425"/>
      <c r="X47" s="458">
        <f>Corporate!V46</f>
        <v>31150</v>
      </c>
      <c r="Y47" s="458"/>
      <c r="Z47" s="458">
        <f>Corporate!X46</f>
        <v>10699</v>
      </c>
      <c r="AA47" s="425"/>
      <c r="AB47" s="193">
        <f>Corporate!Z46</f>
        <v>-73235</v>
      </c>
      <c r="AC47" s="472"/>
      <c r="AD47" s="490">
        <f>Corporate!AB46</f>
        <v>43669</v>
      </c>
      <c r="AE47" s="425">
        <f>Corporate!AC46</f>
        <v>39989</v>
      </c>
      <c r="AF47" s="458"/>
      <c r="AG47" s="458"/>
      <c r="AH47" s="425">
        <f>Corporate!AF46</f>
        <v>71103</v>
      </c>
      <c r="AI47" s="425"/>
      <c r="AJ47" s="193">
        <f>Corporate!AH46</f>
        <v>51360</v>
      </c>
      <c r="AK47" s="115"/>
    </row>
    <row r="48" spans="1:82" ht="15.75" thickBot="1" x14ac:dyDescent="0.3">
      <c r="A48" s="89" t="s">
        <v>32</v>
      </c>
      <c r="B48" s="89"/>
      <c r="C48" s="89"/>
      <c r="D48" s="758">
        <f>D46+D47-1</f>
        <v>530395.59697000007</v>
      </c>
      <c r="E48" s="118"/>
      <c r="F48" s="522">
        <f>F46+F47+2</f>
        <v>513645.25022000005</v>
      </c>
      <c r="G48" s="539"/>
      <c r="H48" s="539">
        <f>H46+H47</f>
        <v>410730.03421999991</v>
      </c>
      <c r="I48" s="539"/>
      <c r="J48" s="539">
        <f>J46+J47</f>
        <v>318365.78821999999</v>
      </c>
      <c r="K48" s="55"/>
      <c r="L48" s="642">
        <f>L46+L47</f>
        <v>573662.84522000002</v>
      </c>
      <c r="M48" s="118"/>
      <c r="N48" s="522">
        <f>N46+N47</f>
        <v>740271.17099999997</v>
      </c>
      <c r="O48" s="539"/>
      <c r="P48" s="539">
        <f>P46+P47</f>
        <v>625364</v>
      </c>
      <c r="Q48" s="539"/>
      <c r="R48" s="539">
        <f>R46+R47</f>
        <v>560001</v>
      </c>
      <c r="S48" s="55"/>
      <c r="T48" s="642">
        <f>T46+T47</f>
        <v>530574</v>
      </c>
      <c r="U48" s="464"/>
      <c r="V48" s="522">
        <f>V46+V47</f>
        <v>969509</v>
      </c>
      <c r="W48" s="55"/>
      <c r="X48" s="55">
        <f>X46+X47</f>
        <v>894869</v>
      </c>
      <c r="Y48" s="539"/>
      <c r="Z48" s="55">
        <f>Z46+Z47</f>
        <v>792816.97601579782</v>
      </c>
      <c r="AA48" s="55"/>
      <c r="AB48" s="246">
        <f>AB46+AB47</f>
        <v>856424.76791579789</v>
      </c>
      <c r="AC48" s="472"/>
      <c r="AD48" s="522">
        <f>AD46+AD47</f>
        <v>987742</v>
      </c>
      <c r="AE48" s="55">
        <f>AE46+AE47</f>
        <v>1012407.0770199997</v>
      </c>
      <c r="AF48" s="539"/>
      <c r="AG48" s="539"/>
      <c r="AH48" s="55">
        <f>AH46+AH47</f>
        <v>1019708</v>
      </c>
      <c r="AI48" s="55"/>
      <c r="AJ48" s="246">
        <f>AJ46+AJ47</f>
        <v>928937</v>
      </c>
      <c r="AK48" s="89"/>
    </row>
    <row r="49" spans="1:36" x14ac:dyDescent="0.25">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row>
    <row r="50" spans="1:36" outlineLevel="1" x14ac:dyDescent="0.25">
      <c r="A50" s="275" t="s">
        <v>37</v>
      </c>
      <c r="D50" s="776">
        <f>D12-D13-D14</f>
        <v>0</v>
      </c>
      <c r="E50" s="66"/>
      <c r="F50" s="776">
        <f t="shared" ref="F50:L50" si="16">F12-F13-F14</f>
        <v>0</v>
      </c>
      <c r="G50" s="776">
        <f t="shared" si="16"/>
        <v>0</v>
      </c>
      <c r="H50" s="776">
        <f t="shared" si="16"/>
        <v>0</v>
      </c>
      <c r="I50" s="776">
        <f t="shared" si="16"/>
        <v>0</v>
      </c>
      <c r="J50" s="776">
        <f t="shared" si="16"/>
        <v>0</v>
      </c>
      <c r="K50" s="776">
        <f t="shared" si="16"/>
        <v>-6.9849193096160889E-10</v>
      </c>
      <c r="L50" s="776">
        <f t="shared" si="16"/>
        <v>0</v>
      </c>
      <c r="M50" s="66"/>
      <c r="N50" s="776">
        <f t="shared" ref="N50:T50" si="17">N12-N13-N14</f>
        <v>0</v>
      </c>
      <c r="O50" s="776">
        <f t="shared" si="17"/>
        <v>0</v>
      </c>
      <c r="P50" s="776">
        <f t="shared" si="17"/>
        <v>0</v>
      </c>
      <c r="Q50" s="776">
        <f>Q12-Q13-Q14</f>
        <v>0</v>
      </c>
      <c r="R50" s="776">
        <f t="shared" si="17"/>
        <v>0</v>
      </c>
      <c r="S50" s="776">
        <f t="shared" si="17"/>
        <v>0</v>
      </c>
      <c r="T50" s="776">
        <f t="shared" si="17"/>
        <v>0</v>
      </c>
      <c r="U50" s="66"/>
      <c r="V50" s="776">
        <f t="shared" ref="V50:AB50" si="18">V12-V13-V14</f>
        <v>0</v>
      </c>
      <c r="W50" s="776">
        <f t="shared" si="18"/>
        <v>0</v>
      </c>
      <c r="X50" s="776">
        <f t="shared" si="18"/>
        <v>0</v>
      </c>
      <c r="Y50" s="776">
        <f t="shared" si="18"/>
        <v>0</v>
      </c>
      <c r="Z50" s="776">
        <f t="shared" si="18"/>
        <v>0</v>
      </c>
      <c r="AA50" s="776">
        <f t="shared" si="18"/>
        <v>0.5000000002910383</v>
      </c>
      <c r="AB50" s="776">
        <f t="shared" si="18"/>
        <v>0.50000000011641532</v>
      </c>
      <c r="AC50" s="66"/>
      <c r="AD50" s="776">
        <f t="shared" ref="AD50:AJ50" si="19">AD12-AD13-AD14</f>
        <v>0</v>
      </c>
      <c r="AE50" s="776">
        <f t="shared" si="19"/>
        <v>-0.80200000002514571</v>
      </c>
      <c r="AF50" s="776">
        <f t="shared" si="19"/>
        <v>-0.80200000002514571</v>
      </c>
      <c r="AG50" s="776">
        <f t="shared" si="19"/>
        <v>1.801999999966938</v>
      </c>
      <c r="AH50" s="776">
        <f t="shared" si="19"/>
        <v>0.99999999994179234</v>
      </c>
      <c r="AI50" s="776">
        <f t="shared" si="19"/>
        <v>-1.0000000000582077</v>
      </c>
      <c r="AJ50" s="776">
        <f t="shared" si="19"/>
        <v>0</v>
      </c>
    </row>
    <row r="51" spans="1:36" outlineLevel="1" x14ac:dyDescent="0.25">
      <c r="A51" s="277" t="s">
        <v>38</v>
      </c>
      <c r="D51" s="776">
        <f>D14-SUM(D15:D18)-D19</f>
        <v>0.99999999999454303</v>
      </c>
      <c r="E51" s="66"/>
      <c r="F51" s="776">
        <f>F14-SUM(F15:F18)-F19</f>
        <v>-5.4569682106375694E-12</v>
      </c>
      <c r="G51" s="776">
        <f>G14-SUM(G15:G18)-G19</f>
        <v>-1.0000000000181899</v>
      </c>
      <c r="H51" s="776">
        <f>H14-SUM(H15:H18)-H19</f>
        <v>-2.0000000000291038</v>
      </c>
      <c r="I51" s="776">
        <f>I14-SUM(I15:I18)-I19</f>
        <v>5.2750692702829838E-11</v>
      </c>
      <c r="J51" s="776">
        <f>J14-SUM(J15:J18)-J19</f>
        <v>-0.99999999991268851</v>
      </c>
      <c r="K51" s="776">
        <f>K14-SUM(K15:K18)-K19+1</f>
        <v>0.99999999994179234</v>
      </c>
      <c r="L51" s="776">
        <f>L14-SUM(L15:L18)-L19+1</f>
        <v>8.7311491370201111E-11</v>
      </c>
      <c r="M51" s="66"/>
      <c r="N51" s="776">
        <f t="shared" ref="N51:T51" si="20">N14-SUM(N15:N18)-N19</f>
        <v>2.1827872842550278E-11</v>
      </c>
      <c r="O51" s="776">
        <f t="shared" si="20"/>
        <v>7.2759576141834259E-12</v>
      </c>
      <c r="P51" s="776">
        <f t="shared" si="20"/>
        <v>1.0000000000291038</v>
      </c>
      <c r="Q51" s="776">
        <f>Q14-SUM(Q15:Q18)-Q19</f>
        <v>-0.99999999998908606</v>
      </c>
      <c r="R51" s="776">
        <f t="shared" si="20"/>
        <v>-0.99999999994179234</v>
      </c>
      <c r="S51" s="776">
        <f t="shared" si="20"/>
        <v>0.99999999997817213</v>
      </c>
      <c r="T51" s="776">
        <f t="shared" si="20"/>
        <v>3.637978807091713E-11</v>
      </c>
      <c r="U51" s="66"/>
      <c r="V51" s="776">
        <f t="shared" ref="V51:AB51" si="21">V14-SUM(V15:V18)-V19</f>
        <v>0</v>
      </c>
      <c r="W51" s="776">
        <f t="shared" si="21"/>
        <v>3.4560798667371273E-11</v>
      </c>
      <c r="X51" s="776">
        <f t="shared" si="21"/>
        <v>1.000000000003638</v>
      </c>
      <c r="Y51" s="776">
        <f t="shared" si="21"/>
        <v>0</v>
      </c>
      <c r="Z51" s="776">
        <f t="shared" si="21"/>
        <v>0.99999999997817213</v>
      </c>
      <c r="AA51" s="776">
        <f t="shared" si="21"/>
        <v>-1.9999999999054126</v>
      </c>
      <c r="AB51" s="776">
        <f t="shared" si="21"/>
        <v>-0.99999999986903276</v>
      </c>
      <c r="AC51" s="66"/>
      <c r="AD51" s="776">
        <f t="shared" ref="AD51:AJ51" si="22">AD14-SUM(AD15:AD18)-AD19</f>
        <v>0</v>
      </c>
      <c r="AE51" s="776">
        <f t="shared" si="22"/>
        <v>-1.1599899999928311</v>
      </c>
      <c r="AF51" s="776">
        <f t="shared" si="22"/>
        <v>-1.159990000014659</v>
      </c>
      <c r="AG51" s="776">
        <f t="shared" si="22"/>
        <v>1.1599900000437628</v>
      </c>
      <c r="AH51" s="776">
        <f t="shared" si="22"/>
        <v>0</v>
      </c>
      <c r="AI51" s="776">
        <f t="shared" si="22"/>
        <v>3.637978807091713E-11</v>
      </c>
      <c r="AJ51" s="776">
        <f t="shared" si="22"/>
        <v>0</v>
      </c>
    </row>
    <row r="52" spans="1:36" outlineLevel="1" x14ac:dyDescent="0.25">
      <c r="A52" s="277" t="s">
        <v>24</v>
      </c>
      <c r="D52" s="776">
        <f>D19-SUM(D21:D28)-D29</f>
        <v>1</v>
      </c>
      <c r="E52" s="66"/>
      <c r="F52" s="776">
        <f>F19-SUM(F21:F28)-F29</f>
        <v>1</v>
      </c>
      <c r="G52" s="776">
        <f>G19-SUM(G21:G28)-G29</f>
        <v>0</v>
      </c>
      <c r="H52" s="776">
        <f t="shared" ref="H52:L52" si="23">H19-SUM(H21:H28)-H29</f>
        <v>0</v>
      </c>
      <c r="I52" s="776">
        <f t="shared" si="23"/>
        <v>0</v>
      </c>
      <c r="J52" s="776">
        <f t="shared" si="23"/>
        <v>1</v>
      </c>
      <c r="K52" s="776">
        <f t="shared" si="23"/>
        <v>-0.99999999998544808</v>
      </c>
      <c r="L52" s="776">
        <f t="shared" si="23"/>
        <v>0</v>
      </c>
      <c r="M52" s="66"/>
      <c r="N52" s="776">
        <f>N19-SUM(N21:N28)-N29</f>
        <v>2.9999999999854481</v>
      </c>
      <c r="O52" s="776">
        <f>O19-SUM(O21:O28)-O29</f>
        <v>1</v>
      </c>
      <c r="P52" s="776">
        <f>P19-SUM(P21:P28)-P29</f>
        <v>-2.0000000000291038</v>
      </c>
      <c r="Q52" s="776">
        <f>Q19-SUM(Q21:Q28)-Q29</f>
        <v>0</v>
      </c>
      <c r="R52" s="776">
        <f t="shared" ref="R52:T52" si="24">R19-SUM(R21:R28)-R29</f>
        <v>0</v>
      </c>
      <c r="S52" s="776">
        <f>S19-SUM(S21:S28)-S29</f>
        <v>0</v>
      </c>
      <c r="T52" s="776">
        <f t="shared" si="24"/>
        <v>0</v>
      </c>
      <c r="U52" s="66"/>
      <c r="V52" s="776">
        <f>V19-SUM(V21:V28)-V29</f>
        <v>1</v>
      </c>
      <c r="W52" s="776">
        <f t="shared" ref="W52:AB52" si="25">W19-SUM(W21:W28)-W29</f>
        <v>-1.0000000000145519</v>
      </c>
      <c r="X52" s="776">
        <f>X19-SUM(X21:X28)-X29</f>
        <v>-1</v>
      </c>
      <c r="Y52" s="776">
        <f t="shared" si="25"/>
        <v>0</v>
      </c>
      <c r="Z52" s="776">
        <f t="shared" si="25"/>
        <v>0</v>
      </c>
      <c r="AA52" s="776">
        <f t="shared" si="25"/>
        <v>-0.55699999998614658</v>
      </c>
      <c r="AB52" s="776">
        <f t="shared" si="25"/>
        <v>-0.55699999997159466</v>
      </c>
      <c r="AC52" s="66"/>
      <c r="AD52" s="776">
        <f>AD19-SUM(AD21:AD28)-AD29</f>
        <v>0</v>
      </c>
      <c r="AE52" s="776">
        <f t="shared" ref="AE52:AF52" si="26">AE19-SUM(AE21:AE28)-AE29</f>
        <v>-1.6540000004169997E-2</v>
      </c>
      <c r="AF52" s="776">
        <f t="shared" si="26"/>
        <v>-1.6540000011445954E-2</v>
      </c>
      <c r="AG52" s="776">
        <f>AG19-SUM(AG21:AG28)-AG29</f>
        <v>-0.98346000000310596</v>
      </c>
      <c r="AH52" s="776">
        <f>AH19-SUM(AH21:AH28)-AH29</f>
        <v>-1.0000000000145519</v>
      </c>
      <c r="AI52" s="776">
        <f>AI19-SUM(AI21:AI28)-AI29</f>
        <v>2.9999999999854481</v>
      </c>
      <c r="AJ52" s="776">
        <f>AJ19-SUM(AJ21:AJ28)-AJ29</f>
        <v>2</v>
      </c>
    </row>
    <row r="53" spans="1:36" outlineLevel="1" x14ac:dyDescent="0.25">
      <c r="A53" s="277" t="s">
        <v>39</v>
      </c>
      <c r="D53" s="776">
        <f>SUM(D41:D43)-D44</f>
        <v>0</v>
      </c>
      <c r="E53" s="66"/>
      <c r="F53" s="776">
        <f>SUM(F41:F43)-F44</f>
        <v>0</v>
      </c>
      <c r="G53" s="776">
        <f t="shared" ref="G53:K53" si="27">SUM(G41:G43)-G44</f>
        <v>0</v>
      </c>
      <c r="H53" s="776">
        <f t="shared" si="27"/>
        <v>0</v>
      </c>
      <c r="I53" s="776">
        <f>SUM(I41:I43)-I44</f>
        <v>0</v>
      </c>
      <c r="J53" s="776">
        <f t="shared" si="27"/>
        <v>0</v>
      </c>
      <c r="K53" s="776">
        <f t="shared" si="27"/>
        <v>0</v>
      </c>
      <c r="L53" s="776">
        <f>SUM(L41:L43)-L44</f>
        <v>0</v>
      </c>
      <c r="M53" s="66"/>
      <c r="N53" s="776">
        <f t="shared" ref="N53:T53" si="28">SUM(N41:N43)-N44</f>
        <v>6.99999975040555E-3</v>
      </c>
      <c r="O53" s="776">
        <f t="shared" si="28"/>
        <v>0</v>
      </c>
      <c r="P53" s="776">
        <f t="shared" si="28"/>
        <v>0</v>
      </c>
      <c r="Q53" s="776">
        <f t="shared" si="28"/>
        <v>0</v>
      </c>
      <c r="R53" s="776">
        <f t="shared" si="28"/>
        <v>0</v>
      </c>
      <c r="S53" s="776">
        <f t="shared" si="28"/>
        <v>0</v>
      </c>
      <c r="T53" s="776">
        <f t="shared" si="28"/>
        <v>-1</v>
      </c>
      <c r="U53" s="66"/>
      <c r="V53" s="776">
        <f>SUM(V41:V43)-V44</f>
        <v>0</v>
      </c>
      <c r="W53" s="776">
        <f t="shared" ref="W53" si="29">SUM(W41:W43)-W44</f>
        <v>0</v>
      </c>
      <c r="X53" s="776">
        <f t="shared" ref="X53:Y53" si="30">SUM(X41:X43)-X44</f>
        <v>0</v>
      </c>
      <c r="Y53" s="776">
        <f t="shared" si="30"/>
        <v>0</v>
      </c>
      <c r="Z53" s="776">
        <f t="shared" ref="Z53:AB53" si="31">SUM(Z41:Z43)-Z44</f>
        <v>0</v>
      </c>
      <c r="AA53" s="776">
        <f t="shared" si="31"/>
        <v>0</v>
      </c>
      <c r="AB53" s="776">
        <f t="shared" si="31"/>
        <v>0</v>
      </c>
      <c r="AC53" s="66"/>
      <c r="AD53" s="776">
        <f t="shared" ref="AD53:AE53" si="32">SUM(AD41:AD43)-AD44</f>
        <v>0</v>
      </c>
      <c r="AE53" s="776">
        <f t="shared" si="32"/>
        <v>0</v>
      </c>
      <c r="AF53" s="776">
        <f t="shared" ref="AF53:AG53" si="33">SUM(AF41:AF43)-AF44</f>
        <v>0</v>
      </c>
      <c r="AG53" s="776">
        <f t="shared" si="33"/>
        <v>0</v>
      </c>
      <c r="AH53" s="776">
        <f t="shared" ref="AH53:AI53" si="34">SUM(AH41:AH43)-AH44</f>
        <v>0</v>
      </c>
      <c r="AI53" s="776">
        <f t="shared" si="34"/>
        <v>0</v>
      </c>
      <c r="AJ53" s="776">
        <f t="shared" ref="AJ53" si="35">SUM(AJ41:AJ43)-AJ44</f>
        <v>0</v>
      </c>
    </row>
    <row r="54" spans="1:36" outlineLevel="1" x14ac:dyDescent="0.25">
      <c r="A54" s="277" t="s">
        <v>40</v>
      </c>
      <c r="D54" s="776">
        <f>D39-D44-D48</f>
        <v>0.99964420101605356</v>
      </c>
      <c r="E54" s="66"/>
      <c r="F54" s="776">
        <f>F39-F44-F48</f>
        <v>-1.3900005724281073E-3</v>
      </c>
      <c r="G54" s="776">
        <f t="shared" ref="G54:L54" si="36">G39-G44-G48</f>
        <v>0</v>
      </c>
      <c r="H54" s="776">
        <f t="shared" si="36"/>
        <v>-3.8999982643872499E-4</v>
      </c>
      <c r="I54" s="776">
        <f t="shared" si="36"/>
        <v>0</v>
      </c>
      <c r="J54" s="776">
        <f t="shared" si="36"/>
        <v>-3.8999971002340317E-4</v>
      </c>
      <c r="K54" s="776">
        <f t="shared" si="36"/>
        <v>0</v>
      </c>
      <c r="L54" s="776">
        <f t="shared" si="36"/>
        <v>-3.8999971002340317E-4</v>
      </c>
      <c r="M54" s="66"/>
      <c r="N54" s="776">
        <f>N39-N44-N48</f>
        <v>0.43299999937880784</v>
      </c>
      <c r="O54" s="776">
        <f t="shared" ref="O54:T54" si="37">O39-O44-O48</f>
        <v>0</v>
      </c>
      <c r="P54" s="776">
        <f t="shared" si="37"/>
        <v>0</v>
      </c>
      <c r="Q54" s="776">
        <f t="shared" si="37"/>
        <v>0</v>
      </c>
      <c r="R54" s="776">
        <f t="shared" si="37"/>
        <v>0</v>
      </c>
      <c r="S54" s="776">
        <f t="shared" si="37"/>
        <v>0</v>
      </c>
      <c r="T54" s="776">
        <f t="shared" si="37"/>
        <v>-0.20699999993667006</v>
      </c>
      <c r="U54" s="66"/>
      <c r="V54" s="776">
        <f>V39-V44-V48</f>
        <v>0</v>
      </c>
      <c r="W54" s="776">
        <f t="shared" ref="W54:AB54" si="38">W39-W44-W48</f>
        <v>0</v>
      </c>
      <c r="X54" s="776">
        <f t="shared" si="38"/>
        <v>0</v>
      </c>
      <c r="Y54" s="776">
        <f t="shared" si="38"/>
        <v>0</v>
      </c>
      <c r="Z54" s="776">
        <f t="shared" si="38"/>
        <v>-0.46704579796642065</v>
      </c>
      <c r="AA54" s="776">
        <f t="shared" si="38"/>
        <v>0</v>
      </c>
      <c r="AB54" s="776">
        <f t="shared" si="38"/>
        <v>-8.9457985013723373E-3</v>
      </c>
      <c r="AC54" s="66"/>
      <c r="AD54" s="776">
        <f t="shared" ref="AD54:AE54" si="39">AD39-AD44-AD48</f>
        <v>0</v>
      </c>
      <c r="AE54" s="776">
        <f t="shared" si="39"/>
        <v>-7.7019999735057354E-2</v>
      </c>
      <c r="AF54" s="776">
        <f t="shared" ref="AF54:AG54" si="40">AF39-AF44-AF48</f>
        <v>0</v>
      </c>
      <c r="AG54" s="776">
        <f t="shared" si="40"/>
        <v>0</v>
      </c>
      <c r="AH54" s="776">
        <f t="shared" ref="AH54:AI54" si="41">AH39-AH44-AH48</f>
        <v>0</v>
      </c>
      <c r="AI54" s="776">
        <f t="shared" si="41"/>
        <v>0</v>
      </c>
      <c r="AJ54" s="776">
        <f t="shared" ref="AJ54" si="42">AJ39-AJ44-AJ48</f>
        <v>0</v>
      </c>
    </row>
    <row r="57" spans="1:36" x14ac:dyDescent="0.25">
      <c r="A57" s="4" t="e" vm="1">
        <v>#VALUE!</v>
      </c>
    </row>
  </sheetData>
  <mergeCells count="5">
    <mergeCell ref="N9:T9"/>
    <mergeCell ref="A6:B6"/>
    <mergeCell ref="AD9:AJ9"/>
    <mergeCell ref="V9:AB9"/>
    <mergeCell ref="F9:L9"/>
  </mergeCells>
  <pageMargins left="0.7" right="0.7" top="0.75" bottom="0.75" header="0.3" footer="0.3"/>
  <pageSetup scale="26" orientation="landscape" r:id="rId1"/>
  <headerFooter alignWithMargins="0"/>
  <ignoredErrors>
    <ignoredError sqref="AF12:AF37 AH12:AH37 AG22 X12:X36 Z12:Z33 Z35:Z36 W17 K37 P33"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210A-21B9-4B32-8DEB-4F5F7CD17D6F}">
  <dimension ref="A1:CD73"/>
  <sheetViews>
    <sheetView showGridLines="0" topLeftCell="B1" workbookViewId="0">
      <selection activeCell="B1" sqref="B1"/>
    </sheetView>
  </sheetViews>
  <sheetFormatPr defaultColWidth="9.140625" defaultRowHeight="15" outlineLevelRow="1" outlineLevelCol="1" x14ac:dyDescent="0.25"/>
  <cols>
    <col min="1" max="1" width="9.140625" style="310" hidden="1" customWidth="1" outlineLevel="1"/>
    <col min="2" max="2" width="30.5703125" style="310" customWidth="1" collapsed="1"/>
    <col min="3" max="3" width="12.5703125" style="310" customWidth="1"/>
    <col min="4" max="4" width="6" style="310" customWidth="1"/>
    <col min="5" max="5" width="9" style="310" bestFit="1" customWidth="1"/>
    <col min="6" max="6" width="6" style="310" customWidth="1"/>
    <col min="7" max="7" width="9" style="310" bestFit="1" customWidth="1"/>
    <col min="8" max="8" width="8" style="310" bestFit="1" customWidth="1"/>
    <col min="9" max="9" width="9" style="310" bestFit="1" customWidth="1"/>
    <col min="10" max="10" width="8" style="310" bestFit="1" customWidth="1"/>
    <col min="11" max="11" width="9" style="310" bestFit="1" customWidth="1"/>
    <col min="12" max="12" width="8" style="310" bestFit="1" customWidth="1"/>
    <col min="13" max="13" width="9" style="310" bestFit="1" customWidth="1"/>
    <col min="14" max="14" width="6" style="310" customWidth="1"/>
    <col min="15" max="17" width="12.5703125" style="310" customWidth="1"/>
    <col min="18" max="18" width="9.28515625" style="310" customWidth="1"/>
    <col min="19" max="21" width="12.5703125" style="310" customWidth="1"/>
    <col min="22" max="22" width="2.140625" style="310" customWidth="1"/>
    <col min="23" max="25" width="12.5703125" style="310" customWidth="1"/>
    <col min="26" max="26" width="9.28515625" style="310" customWidth="1"/>
    <col min="27" max="29" width="12.5703125" style="310" customWidth="1"/>
    <col min="30" max="30" width="2.140625" style="310" customWidth="1"/>
    <col min="31" max="33" width="12.5703125" style="310" customWidth="1"/>
    <col min="34" max="34" width="9.28515625" style="310" customWidth="1"/>
    <col min="35" max="35" width="16.28515625" style="310" customWidth="1"/>
    <col min="36" max="36" width="41.5703125" style="310" customWidth="1"/>
    <col min="37" max="16384" width="9.140625" style="310"/>
  </cols>
  <sheetData>
    <row r="1" spans="2:82" x14ac:dyDescent="0.25">
      <c r="B1" s="300" t="s">
        <v>196</v>
      </c>
      <c r="C1" s="301">
        <v>541.1</v>
      </c>
      <c r="D1" s="305"/>
      <c r="E1" s="305"/>
      <c r="F1" s="305"/>
      <c r="G1" s="305"/>
      <c r="H1" s="305"/>
      <c r="I1" s="305"/>
      <c r="J1" s="305"/>
      <c r="K1" s="305"/>
      <c r="L1" s="305"/>
      <c r="M1" s="305"/>
      <c r="N1" s="305"/>
      <c r="O1" s="327"/>
      <c r="P1" s="327"/>
      <c r="Q1" s="327"/>
      <c r="R1" s="327"/>
      <c r="S1" s="563"/>
      <c r="T1" s="563"/>
      <c r="U1" s="563"/>
      <c r="V1" s="563"/>
      <c r="W1" s="327"/>
      <c r="X1" s="327"/>
      <c r="Y1" s="327"/>
      <c r="Z1" s="327"/>
      <c r="AA1" s="563"/>
      <c r="AB1" s="563"/>
      <c r="AC1" s="563"/>
      <c r="AD1" s="563"/>
      <c r="AE1" s="327"/>
      <c r="AF1" s="327"/>
      <c r="AG1" s="327"/>
      <c r="AH1" s="327"/>
    </row>
    <row r="2" spans="2:82" x14ac:dyDescent="0.25">
      <c r="B2" s="302" t="s">
        <v>42</v>
      </c>
      <c r="C2" s="530">
        <v>348.4</v>
      </c>
      <c r="D2" s="305"/>
      <c r="E2" s="305"/>
      <c r="F2" s="305"/>
      <c r="G2" s="305"/>
      <c r="H2" s="305"/>
      <c r="I2" s="305"/>
      <c r="J2" s="305"/>
      <c r="K2" s="305"/>
      <c r="L2" s="305"/>
      <c r="M2" s="305"/>
      <c r="N2" s="305"/>
      <c r="O2" s="354"/>
      <c r="P2" s="354"/>
      <c r="Q2" s="354"/>
      <c r="R2" s="354"/>
      <c r="S2" s="305"/>
      <c r="T2" s="305"/>
      <c r="U2" s="305"/>
      <c r="V2" s="305"/>
      <c r="W2" s="354"/>
      <c r="X2" s="354"/>
      <c r="Y2" s="354"/>
      <c r="Z2" s="354"/>
      <c r="AA2" s="305"/>
      <c r="AB2" s="305"/>
      <c r="AC2" s="305"/>
      <c r="AD2" s="305"/>
      <c r="AE2" s="305"/>
      <c r="AF2" s="354"/>
      <c r="AG2" s="354"/>
      <c r="AH2" s="354"/>
    </row>
    <row r="3" spans="2:82" x14ac:dyDescent="0.25">
      <c r="B3" s="302" t="s">
        <v>43</v>
      </c>
      <c r="C3" s="530">
        <v>35.299999999999997</v>
      </c>
      <c r="D3" s="305"/>
      <c r="E3" s="305"/>
      <c r="F3" s="305"/>
      <c r="G3" s="305"/>
      <c r="H3" s="305"/>
      <c r="I3" s="305"/>
      <c r="J3" s="305"/>
      <c r="K3" s="305"/>
      <c r="L3" s="305"/>
      <c r="M3" s="305"/>
      <c r="N3" s="305"/>
      <c r="O3" s="354"/>
      <c r="P3" s="354"/>
      <c r="Q3" s="354"/>
      <c r="R3" s="354"/>
      <c r="S3" s="305"/>
      <c r="T3" s="305"/>
      <c r="U3" s="305"/>
      <c r="V3" s="305"/>
      <c r="W3" s="354"/>
      <c r="X3" s="354"/>
      <c r="Y3" s="354"/>
      <c r="Z3" s="354"/>
      <c r="AA3" s="305"/>
      <c r="AB3" s="305"/>
      <c r="AC3" s="305"/>
      <c r="AD3" s="305"/>
      <c r="AE3" s="305"/>
      <c r="AF3" s="354"/>
      <c r="AG3" s="354"/>
      <c r="AH3" s="354"/>
    </row>
    <row r="4" spans="2:82" ht="15.75" thickBot="1" x14ac:dyDescent="0.3">
      <c r="B4" s="336" t="s">
        <v>44</v>
      </c>
      <c r="C4" s="531">
        <f>C1-C2-C3</f>
        <v>157.40000000000003</v>
      </c>
      <c r="D4" s="305"/>
      <c r="E4" s="305"/>
      <c r="F4" s="305"/>
      <c r="G4" s="305"/>
      <c r="H4" s="305"/>
      <c r="I4" s="305"/>
      <c r="J4" s="305"/>
      <c r="K4" s="305"/>
      <c r="L4" s="305"/>
      <c r="M4" s="305"/>
      <c r="N4" s="305"/>
      <c r="O4" s="354"/>
      <c r="P4" s="354"/>
      <c r="Q4" s="354"/>
      <c r="R4" s="354"/>
      <c r="S4" s="305"/>
      <c r="T4" s="305"/>
      <c r="U4" s="305"/>
      <c r="V4" s="305"/>
      <c r="W4" s="354"/>
      <c r="X4" s="354"/>
      <c r="Y4" s="354"/>
      <c r="Z4" s="354"/>
      <c r="AA4" s="305"/>
      <c r="AB4" s="305"/>
      <c r="AC4" s="305"/>
      <c r="AD4" s="305"/>
      <c r="AE4" s="305"/>
      <c r="AF4" s="354"/>
      <c r="AG4" s="354"/>
      <c r="AH4" s="354"/>
    </row>
    <row r="5" spans="2:82" x14ac:dyDescent="0.25">
      <c r="B5" s="304"/>
      <c r="C5" s="305"/>
      <c r="D5" s="305"/>
      <c r="E5" s="305"/>
      <c r="F5" s="305"/>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row>
    <row r="6" spans="2:82" x14ac:dyDescent="0.25">
      <c r="B6" s="304"/>
      <c r="C6" s="305"/>
      <c r="D6" s="305"/>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row>
    <row r="7" spans="2:82" x14ac:dyDescent="0.25">
      <c r="B7" s="304"/>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row>
    <row r="8" spans="2:82" x14ac:dyDescent="0.25">
      <c r="B8" s="304"/>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row>
    <row r="9" spans="2:82" x14ac:dyDescent="0.25">
      <c r="B9" s="304"/>
      <c r="C9" s="305"/>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row>
    <row r="10" spans="2:82" x14ac:dyDescent="0.25">
      <c r="B10" s="304"/>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row>
    <row r="11" spans="2:82" x14ac:dyDescent="0.25">
      <c r="B11" s="304"/>
      <c r="C11" s="305"/>
      <c r="D11" s="305"/>
      <c r="E11" s="305"/>
      <c r="F11" s="305"/>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row>
    <row r="12" spans="2:82" x14ac:dyDescent="0.25">
      <c r="B12" s="304"/>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row>
    <row r="13" spans="2:82" ht="15.75" thickBot="1" x14ac:dyDescent="0.3">
      <c r="B13" s="304" t="str" cm="1">
        <f t="array" aca="1" ref="B13" ca="1">MID(CELL("filename",B1),FIND("]",CELL("filename",B1))+1,255)</f>
        <v>PrimaLoft</v>
      </c>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row>
    <row r="14" spans="2:82" ht="15.75" thickBot="1" x14ac:dyDescent="0.3">
      <c r="B14" s="42"/>
      <c r="C14" s="274"/>
      <c r="D14" s="274"/>
      <c r="E14" s="737">
        <v>2026</v>
      </c>
      <c r="F14" s="274"/>
      <c r="G14" s="807">
        <v>2025</v>
      </c>
      <c r="H14" s="808"/>
      <c r="I14" s="808"/>
      <c r="J14" s="808"/>
      <c r="K14" s="808"/>
      <c r="L14" s="808"/>
      <c r="M14" s="809"/>
      <c r="N14" s="274"/>
      <c r="O14" s="807">
        <v>2024</v>
      </c>
      <c r="P14" s="808"/>
      <c r="Q14" s="808"/>
      <c r="R14" s="808"/>
      <c r="S14" s="808"/>
      <c r="T14" s="808"/>
      <c r="U14" s="809"/>
      <c r="V14" s="566"/>
      <c r="W14" s="807">
        <v>2023</v>
      </c>
      <c r="X14" s="808"/>
      <c r="Y14" s="808"/>
      <c r="Z14" s="808"/>
      <c r="AA14" s="808"/>
      <c r="AB14" s="808"/>
      <c r="AC14" s="809"/>
      <c r="AD14" s="566"/>
      <c r="AE14" s="828">
        <v>2022</v>
      </c>
      <c r="AF14" s="829"/>
      <c r="AG14" s="829"/>
      <c r="AH14" s="830"/>
    </row>
    <row r="15" spans="2:82" x14ac:dyDescent="0.25">
      <c r="B15" s="307"/>
      <c r="C15" s="274"/>
      <c r="D15" s="274"/>
      <c r="E15" s="728" t="s">
        <v>3</v>
      </c>
      <c r="F15" s="274"/>
      <c r="G15" s="521" t="s">
        <v>3</v>
      </c>
      <c r="H15" s="97" t="s">
        <v>4</v>
      </c>
      <c r="I15" s="97" t="s">
        <v>5</v>
      </c>
      <c r="J15" s="97" t="s">
        <v>6</v>
      </c>
      <c r="K15" s="97" t="s">
        <v>7</v>
      </c>
      <c r="L15" s="97" t="s">
        <v>8</v>
      </c>
      <c r="M15" s="13" t="s">
        <v>9</v>
      </c>
      <c r="N15" s="274"/>
      <c r="O15" s="521" t="s">
        <v>3</v>
      </c>
      <c r="P15" s="97" t="s">
        <v>4</v>
      </c>
      <c r="Q15" s="97" t="s">
        <v>5</v>
      </c>
      <c r="R15" s="97" t="s">
        <v>6</v>
      </c>
      <c r="S15" s="97" t="s">
        <v>7</v>
      </c>
      <c r="T15" s="97" t="s">
        <v>8</v>
      </c>
      <c r="U15" s="13" t="s">
        <v>9</v>
      </c>
      <c r="V15" s="476"/>
      <c r="W15" s="521" t="s">
        <v>3</v>
      </c>
      <c r="X15" s="97" t="s">
        <v>4</v>
      </c>
      <c r="Y15" s="97" t="s">
        <v>5</v>
      </c>
      <c r="Z15" s="97" t="s">
        <v>6</v>
      </c>
      <c r="AA15" s="97" t="s">
        <v>7</v>
      </c>
      <c r="AB15" s="97" t="str">
        <f>AG15</f>
        <v>Q4 QTD</v>
      </c>
      <c r="AC15" s="13" t="str">
        <f>AH15</f>
        <v>Q4 YTD</v>
      </c>
      <c r="AD15" s="476"/>
      <c r="AE15" s="76" t="s">
        <v>6</v>
      </c>
      <c r="AF15" s="10" t="s">
        <v>7</v>
      </c>
      <c r="AG15" s="10" t="s">
        <v>8</v>
      </c>
      <c r="AH15" s="554" t="s">
        <v>9</v>
      </c>
    </row>
    <row r="16" spans="2:82" s="4" customFormat="1" x14ac:dyDescent="0.25">
      <c r="B16" s="42"/>
      <c r="C16" s="22"/>
      <c r="D16" s="22"/>
      <c r="E16" s="577"/>
      <c r="F16" s="22"/>
      <c r="G16" s="24"/>
      <c r="H16" s="405"/>
      <c r="I16" s="405"/>
      <c r="J16" s="405"/>
      <c r="K16" s="405"/>
      <c r="L16" s="405"/>
      <c r="M16" s="23"/>
      <c r="N16" s="22"/>
      <c r="O16" s="24"/>
      <c r="P16" s="405"/>
      <c r="Q16" s="405"/>
      <c r="R16" s="405"/>
      <c r="S16" s="405"/>
      <c r="T16" s="405"/>
      <c r="U16" s="23"/>
      <c r="V16" s="577"/>
      <c r="W16" s="24"/>
      <c r="X16" s="405"/>
      <c r="Y16" s="405"/>
      <c r="Z16" s="405"/>
      <c r="AA16" s="405"/>
      <c r="AB16" s="405"/>
      <c r="AC16" s="23"/>
      <c r="AD16" s="577"/>
      <c r="AE16" s="24"/>
      <c r="AF16" s="405"/>
      <c r="AG16" s="405"/>
      <c r="AH16" s="405"/>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row>
    <row r="17" spans="1:34" x14ac:dyDescent="0.25">
      <c r="A17" s="310" t="s">
        <v>10</v>
      </c>
      <c r="B17" s="308" t="s">
        <v>10</v>
      </c>
      <c r="C17" s="274"/>
      <c r="D17" s="274"/>
      <c r="E17" s="706">
        <v>21916.353999999999</v>
      </c>
      <c r="F17" s="274"/>
      <c r="G17" s="567">
        <v>23644.645</v>
      </c>
      <c r="H17" s="423">
        <v>24855.139340000002</v>
      </c>
      <c r="I17" s="423">
        <v>48499.784340000006</v>
      </c>
      <c r="J17" s="423">
        <v>13293.759</v>
      </c>
      <c r="K17" s="423">
        <v>61793.543340000004</v>
      </c>
      <c r="L17" s="423">
        <v>14718.819</v>
      </c>
      <c r="M17" s="40">
        <v>76512.362340000007</v>
      </c>
      <c r="N17" s="274"/>
      <c r="O17" s="567">
        <v>22541</v>
      </c>
      <c r="P17" s="423">
        <v>25291</v>
      </c>
      <c r="Q17" s="423">
        <v>47832</v>
      </c>
      <c r="R17" s="423">
        <v>13686</v>
      </c>
      <c r="S17" s="423">
        <v>61518</v>
      </c>
      <c r="T17" s="423">
        <v>12708</v>
      </c>
      <c r="U17" s="423">
        <v>74226</v>
      </c>
      <c r="V17" s="483"/>
      <c r="W17" s="567">
        <v>24529</v>
      </c>
      <c r="X17" s="423">
        <f>Y17-W17</f>
        <v>22160</v>
      </c>
      <c r="Y17" s="423">
        <v>46689</v>
      </c>
      <c r="Z17" s="406">
        <f>AA17-Y17</f>
        <v>10930</v>
      </c>
      <c r="AA17" s="423">
        <v>57619</v>
      </c>
      <c r="AB17" s="406">
        <f>AC17-AA17</f>
        <v>9433.7909999999974</v>
      </c>
      <c r="AC17" s="40">
        <v>67052.790999999997</v>
      </c>
      <c r="AD17" s="483"/>
      <c r="AE17" s="84">
        <f>AF17</f>
        <v>10712</v>
      </c>
      <c r="AF17" s="423">
        <v>10712</v>
      </c>
      <c r="AG17" s="423">
        <f>AH17-AF17</f>
        <v>14032</v>
      </c>
      <c r="AH17" s="40">
        <v>24744</v>
      </c>
    </row>
    <row r="18" spans="1:34" ht="17.25" x14ac:dyDescent="0.4">
      <c r="A18" s="310" t="s">
        <v>210</v>
      </c>
      <c r="B18" s="308" t="s">
        <v>11</v>
      </c>
      <c r="C18" s="274"/>
      <c r="D18" s="274"/>
      <c r="E18" s="739">
        <v>7833.2960000000003</v>
      </c>
      <c r="F18" s="274"/>
      <c r="G18" s="568">
        <v>8507.8389999999999</v>
      </c>
      <c r="H18" s="427">
        <v>8957.1970000000001</v>
      </c>
      <c r="I18" s="427">
        <v>17465.036</v>
      </c>
      <c r="J18" s="427">
        <v>4852.3549999999996</v>
      </c>
      <c r="K18" s="427">
        <v>22317.391</v>
      </c>
      <c r="L18" s="427">
        <v>5344.2849999999999</v>
      </c>
      <c r="M18" s="326">
        <v>27661.675999999999</v>
      </c>
      <c r="N18" s="274"/>
      <c r="O18" s="568">
        <v>8491</v>
      </c>
      <c r="P18" s="427">
        <v>9249</v>
      </c>
      <c r="Q18" s="427">
        <v>17740</v>
      </c>
      <c r="R18" s="427">
        <v>5041</v>
      </c>
      <c r="S18" s="427">
        <v>22781</v>
      </c>
      <c r="T18" s="427">
        <v>4879</v>
      </c>
      <c r="U18" s="427">
        <v>27660</v>
      </c>
      <c r="V18" s="483"/>
      <c r="W18" s="568">
        <v>8948</v>
      </c>
      <c r="X18" s="427">
        <f t="shared" ref="X18:X44" si="0">Y18-W18</f>
        <v>8184</v>
      </c>
      <c r="Y18" s="427">
        <v>17132</v>
      </c>
      <c r="Z18" s="407">
        <f t="shared" ref="Z18:AB29" si="1">AA18-Y18</f>
        <v>4391</v>
      </c>
      <c r="AA18" s="427">
        <v>21523</v>
      </c>
      <c r="AB18" s="407">
        <f t="shared" si="1"/>
        <v>3514.5930000000008</v>
      </c>
      <c r="AC18" s="326">
        <v>25037.593000000001</v>
      </c>
      <c r="AD18" s="483"/>
      <c r="AE18" s="324">
        <f t="shared" ref="AE18:AE44" si="2">AF18</f>
        <v>5271</v>
      </c>
      <c r="AF18" s="427">
        <v>5271</v>
      </c>
      <c r="AG18" s="427">
        <f t="shared" ref="AG18:AG44" si="3">AH18-AF18</f>
        <v>5748</v>
      </c>
      <c r="AH18" s="326">
        <v>11019</v>
      </c>
    </row>
    <row r="19" spans="1:34" x14ac:dyDescent="0.25">
      <c r="A19" s="310" t="s">
        <v>12</v>
      </c>
      <c r="B19" s="308" t="s">
        <v>12</v>
      </c>
      <c r="C19" s="274"/>
      <c r="D19" s="274"/>
      <c r="E19" s="706">
        <f>E17-E18</f>
        <v>14083.057999999999</v>
      </c>
      <c r="F19" s="274"/>
      <c r="G19" s="567">
        <f>G17-G18</f>
        <v>15136.806</v>
      </c>
      <c r="H19" s="608">
        <f t="shared" ref="H19:M19" si="4">H17-H18</f>
        <v>15897.942340000001</v>
      </c>
      <c r="I19" s="608">
        <f t="shared" si="4"/>
        <v>31034.748340000006</v>
      </c>
      <c r="J19" s="608">
        <f t="shared" si="4"/>
        <v>8441.4040000000005</v>
      </c>
      <c r="K19" s="608">
        <f t="shared" si="4"/>
        <v>39476.152340000001</v>
      </c>
      <c r="L19" s="608">
        <f t="shared" si="4"/>
        <v>9374.5339999999997</v>
      </c>
      <c r="M19" s="622">
        <f t="shared" si="4"/>
        <v>48850.686340000007</v>
      </c>
      <c r="N19" s="274"/>
      <c r="O19" s="567">
        <f>O17-O18</f>
        <v>14050</v>
      </c>
      <c r="P19" s="608">
        <f t="shared" ref="P19:Q19" si="5">P17-P18</f>
        <v>16042</v>
      </c>
      <c r="Q19" s="608">
        <f t="shared" si="5"/>
        <v>30092</v>
      </c>
      <c r="R19" s="608">
        <f t="shared" ref="R19:S19" si="6">R17-R18</f>
        <v>8645</v>
      </c>
      <c r="S19" s="608">
        <f t="shared" si="6"/>
        <v>38737</v>
      </c>
      <c r="T19" s="608">
        <f t="shared" ref="T19:U19" si="7">T17-T18</f>
        <v>7829</v>
      </c>
      <c r="U19" s="608">
        <f t="shared" si="7"/>
        <v>46566</v>
      </c>
      <c r="V19" s="483"/>
      <c r="W19" s="567">
        <v>15581</v>
      </c>
      <c r="X19" s="423">
        <f t="shared" si="0"/>
        <v>13976</v>
      </c>
      <c r="Y19" s="423">
        <v>29557</v>
      </c>
      <c r="Z19" s="406">
        <f t="shared" si="1"/>
        <v>6539</v>
      </c>
      <c r="AA19" s="423">
        <v>36096</v>
      </c>
      <c r="AB19" s="406">
        <f t="shared" si="1"/>
        <v>5919.1979999999967</v>
      </c>
      <c r="AC19" s="40">
        <v>42015.197999999997</v>
      </c>
      <c r="AD19" s="483"/>
      <c r="AE19" s="84">
        <f t="shared" si="2"/>
        <v>5441</v>
      </c>
      <c r="AF19" s="423">
        <v>5441</v>
      </c>
      <c r="AG19" s="423">
        <f t="shared" si="3"/>
        <v>8284</v>
      </c>
      <c r="AH19" s="40">
        <v>13725</v>
      </c>
    </row>
    <row r="20" spans="1:34" outlineLevel="1" x14ac:dyDescent="0.25">
      <c r="A20" s="310" t="s">
        <v>211</v>
      </c>
      <c r="B20" s="302" t="s">
        <v>13</v>
      </c>
      <c r="C20" s="274"/>
      <c r="D20" s="274"/>
      <c r="E20" s="740">
        <v>5726.9189999999999</v>
      </c>
      <c r="F20" s="274"/>
      <c r="G20" s="569">
        <v>5525.6989999999996</v>
      </c>
      <c r="H20" s="424">
        <v>5554.1750000000002</v>
      </c>
      <c r="I20" s="424">
        <v>11079.874</v>
      </c>
      <c r="J20" s="424">
        <v>4846.6859999999997</v>
      </c>
      <c r="K20" s="424">
        <v>15926.56</v>
      </c>
      <c r="L20" s="424">
        <v>7185.1119999999992</v>
      </c>
      <c r="M20" s="86">
        <v>23111.671999999999</v>
      </c>
      <c r="N20" s="274"/>
      <c r="O20" s="569">
        <v>5297</v>
      </c>
      <c r="P20" s="424">
        <v>5089</v>
      </c>
      <c r="Q20" s="424">
        <v>10386</v>
      </c>
      <c r="R20" s="424">
        <v>5231</v>
      </c>
      <c r="S20" s="424">
        <v>15617</v>
      </c>
      <c r="T20" s="424">
        <v>5112</v>
      </c>
      <c r="U20" s="424">
        <v>20729</v>
      </c>
      <c r="V20" s="483"/>
      <c r="W20" s="569">
        <v>5107</v>
      </c>
      <c r="X20" s="424">
        <f t="shared" si="0"/>
        <v>5705</v>
      </c>
      <c r="Y20" s="424">
        <v>10812</v>
      </c>
      <c r="Z20" s="408">
        <f t="shared" si="1"/>
        <v>3842</v>
      </c>
      <c r="AA20" s="424">
        <v>14654</v>
      </c>
      <c r="AB20" s="408">
        <f t="shared" si="1"/>
        <v>4794.9680000000008</v>
      </c>
      <c r="AC20" s="86">
        <v>19448.968000000001</v>
      </c>
      <c r="AD20" s="483"/>
      <c r="AE20" s="85">
        <f t="shared" si="2"/>
        <v>10238</v>
      </c>
      <c r="AF20" s="424">
        <f>4558+5680</f>
        <v>10238</v>
      </c>
      <c r="AG20" s="424">
        <f t="shared" si="3"/>
        <v>7279</v>
      </c>
      <c r="AH20" s="86">
        <f>11837+5680</f>
        <v>17517</v>
      </c>
    </row>
    <row r="21" spans="1:34" outlineLevel="1" x14ac:dyDescent="0.25">
      <c r="A21" s="310" t="s">
        <v>212</v>
      </c>
      <c r="B21" s="302" t="s">
        <v>14</v>
      </c>
      <c r="C21" s="274"/>
      <c r="D21" s="274"/>
      <c r="E21" s="740">
        <v>250</v>
      </c>
      <c r="F21" s="274"/>
      <c r="G21" s="569">
        <v>250</v>
      </c>
      <c r="H21" s="424">
        <v>249.999</v>
      </c>
      <c r="I21" s="424">
        <v>499.99900000000002</v>
      </c>
      <c r="J21" s="424">
        <v>250.001</v>
      </c>
      <c r="K21" s="424">
        <v>750</v>
      </c>
      <c r="L21" s="424">
        <v>250</v>
      </c>
      <c r="M21" s="86">
        <v>1000</v>
      </c>
      <c r="N21" s="274"/>
      <c r="O21" s="569">
        <v>250</v>
      </c>
      <c r="P21" s="424">
        <v>250</v>
      </c>
      <c r="Q21" s="424">
        <v>500</v>
      </c>
      <c r="R21" s="424">
        <v>250</v>
      </c>
      <c r="S21" s="424">
        <v>750</v>
      </c>
      <c r="T21" s="424">
        <v>250</v>
      </c>
      <c r="U21" s="424">
        <v>1000</v>
      </c>
      <c r="V21" s="483"/>
      <c r="W21" s="569">
        <v>250</v>
      </c>
      <c r="X21" s="424">
        <f t="shared" si="0"/>
        <v>250</v>
      </c>
      <c r="Y21" s="424">
        <v>500</v>
      </c>
      <c r="Z21" s="408">
        <f t="shared" si="1"/>
        <v>250</v>
      </c>
      <c r="AA21" s="424">
        <v>750</v>
      </c>
      <c r="AB21" s="408">
        <f t="shared" si="1"/>
        <v>250</v>
      </c>
      <c r="AC21" s="86">
        <v>1000</v>
      </c>
      <c r="AD21" s="483"/>
      <c r="AE21" s="85">
        <f t="shared" si="2"/>
        <v>250</v>
      </c>
      <c r="AF21" s="424">
        <v>250</v>
      </c>
      <c r="AG21" s="424">
        <f t="shared" si="3"/>
        <v>250</v>
      </c>
      <c r="AH21" s="86">
        <v>500</v>
      </c>
    </row>
    <row r="22" spans="1:34" outlineLevel="1" x14ac:dyDescent="0.25">
      <c r="A22" s="310" t="s">
        <v>213</v>
      </c>
      <c r="B22" s="302" t="s">
        <v>15</v>
      </c>
      <c r="C22" s="274"/>
      <c r="D22" s="274"/>
      <c r="E22" s="515">
        <v>5203.41</v>
      </c>
      <c r="F22" s="274"/>
      <c r="G22" s="503">
        <v>5203.41</v>
      </c>
      <c r="H22" s="504">
        <v>5203.41</v>
      </c>
      <c r="I22" s="504">
        <v>10406.82</v>
      </c>
      <c r="J22" s="504">
        <v>5203.41</v>
      </c>
      <c r="K22" s="504">
        <v>15610.23</v>
      </c>
      <c r="L22" s="504">
        <v>5203.41</v>
      </c>
      <c r="M22" s="529">
        <v>20813.64</v>
      </c>
      <c r="N22" s="274"/>
      <c r="O22" s="503">
        <v>5203</v>
      </c>
      <c r="P22" s="504">
        <v>5204</v>
      </c>
      <c r="Q22" s="504">
        <v>10407</v>
      </c>
      <c r="R22" s="504">
        <v>5203</v>
      </c>
      <c r="S22" s="504">
        <v>15610</v>
      </c>
      <c r="T22" s="504">
        <v>5203</v>
      </c>
      <c r="U22" s="504">
        <v>20813</v>
      </c>
      <c r="V22" s="483"/>
      <c r="W22" s="503">
        <v>5203</v>
      </c>
      <c r="X22" s="504">
        <f t="shared" si="0"/>
        <v>5204</v>
      </c>
      <c r="Y22" s="504">
        <v>10407</v>
      </c>
      <c r="Z22" s="504">
        <f t="shared" si="1"/>
        <v>5203</v>
      </c>
      <c r="AA22" s="504">
        <v>15610</v>
      </c>
      <c r="AB22" s="504">
        <f t="shared" si="1"/>
        <v>5203.6399999999994</v>
      </c>
      <c r="AC22" s="529">
        <v>20813.64</v>
      </c>
      <c r="AD22" s="483"/>
      <c r="AE22" s="503">
        <f t="shared" si="2"/>
        <v>3422</v>
      </c>
      <c r="AF22" s="504">
        <v>3422</v>
      </c>
      <c r="AG22" s="504">
        <f t="shared" si="3"/>
        <v>6118</v>
      </c>
      <c r="AH22" s="529">
        <v>9540</v>
      </c>
    </row>
    <row r="23" spans="1:34" ht="17.25" outlineLevel="1" x14ac:dyDescent="0.4">
      <c r="A23" s="310" t="s">
        <v>234</v>
      </c>
      <c r="B23" s="302" t="s">
        <v>60</v>
      </c>
      <c r="C23" s="274"/>
      <c r="D23" s="274"/>
      <c r="E23" s="480">
        <v>20500</v>
      </c>
      <c r="F23" s="274"/>
      <c r="G23" s="272">
        <v>0</v>
      </c>
      <c r="H23" s="428">
        <v>0</v>
      </c>
      <c r="I23" s="428">
        <v>0</v>
      </c>
      <c r="J23" s="428">
        <v>0</v>
      </c>
      <c r="K23" s="428">
        <v>0</v>
      </c>
      <c r="L23" s="428">
        <v>0</v>
      </c>
      <c r="M23" s="273">
        <v>0</v>
      </c>
      <c r="N23" s="274"/>
      <c r="O23" s="272">
        <v>0</v>
      </c>
      <c r="P23" s="428">
        <v>0</v>
      </c>
      <c r="Q23" s="428">
        <v>0</v>
      </c>
      <c r="R23" s="428">
        <v>0</v>
      </c>
      <c r="S23" s="428">
        <v>0</v>
      </c>
      <c r="T23" s="428">
        <v>0</v>
      </c>
      <c r="U23" s="428">
        <v>0</v>
      </c>
      <c r="V23" s="483"/>
      <c r="W23" s="272">
        <v>0</v>
      </c>
      <c r="X23" s="428">
        <v>0</v>
      </c>
      <c r="Y23" s="428">
        <v>0</v>
      </c>
      <c r="Z23" s="428">
        <v>0</v>
      </c>
      <c r="AA23" s="428">
        <v>0</v>
      </c>
      <c r="AB23" s="428">
        <f t="shared" si="1"/>
        <v>57810</v>
      </c>
      <c r="AC23" s="273">
        <v>57810</v>
      </c>
      <c r="AD23" s="483"/>
      <c r="AE23" s="272">
        <v>0</v>
      </c>
      <c r="AF23" s="428">
        <v>0</v>
      </c>
      <c r="AG23" s="428">
        <v>0</v>
      </c>
      <c r="AH23" s="273">
        <v>0</v>
      </c>
    </row>
    <row r="24" spans="1:34" x14ac:dyDescent="0.25">
      <c r="A24" s="310" t="s">
        <v>214</v>
      </c>
      <c r="B24" s="308" t="s">
        <v>17</v>
      </c>
      <c r="C24" s="274"/>
      <c r="D24" s="274"/>
      <c r="E24" s="706">
        <f>E19-SUM(E20:E23)</f>
        <v>-17597.271000000001</v>
      </c>
      <c r="F24" s="274"/>
      <c r="G24" s="567">
        <f>G19-SUM(G20:G23)</f>
        <v>4157.6970000000001</v>
      </c>
      <c r="H24" s="608">
        <f t="shared" ref="H24:I24" si="8">H19-SUM(H20:H23)</f>
        <v>4890.3583400000025</v>
      </c>
      <c r="I24" s="608">
        <f t="shared" si="8"/>
        <v>9048.0553400000063</v>
      </c>
      <c r="J24" s="608">
        <f t="shared" ref="J24:M24" si="9">J19-SUM(J20:J23)</f>
        <v>-1858.6929999999993</v>
      </c>
      <c r="K24" s="608">
        <f t="shared" si="9"/>
        <v>7189.3623400000033</v>
      </c>
      <c r="L24" s="608">
        <f t="shared" si="9"/>
        <v>-3263.9879999999994</v>
      </c>
      <c r="M24" s="622">
        <f t="shared" si="9"/>
        <v>3925.3743400000094</v>
      </c>
      <c r="N24" s="274"/>
      <c r="O24" s="567">
        <f>O19-SUM(O20:O23)</f>
        <v>3300</v>
      </c>
      <c r="P24" s="608">
        <f t="shared" ref="P24:Q24" si="10">P19-SUM(P20:P23)</f>
        <v>5499</v>
      </c>
      <c r="Q24" s="608">
        <f t="shared" si="10"/>
        <v>8799</v>
      </c>
      <c r="R24" s="608">
        <f t="shared" ref="R24:S24" si="11">R19-SUM(R20:R23)</f>
        <v>-2039</v>
      </c>
      <c r="S24" s="608">
        <f t="shared" si="11"/>
        <v>6760</v>
      </c>
      <c r="T24" s="608">
        <f t="shared" ref="T24:U24" si="12">T19-SUM(T20:T23)</f>
        <v>-2736</v>
      </c>
      <c r="U24" s="608">
        <f t="shared" si="12"/>
        <v>4024</v>
      </c>
      <c r="V24" s="483"/>
      <c r="W24" s="567">
        <v>5021</v>
      </c>
      <c r="X24" s="423">
        <f t="shared" si="0"/>
        <v>2817</v>
      </c>
      <c r="Y24" s="423">
        <v>7838</v>
      </c>
      <c r="Z24" s="406">
        <f t="shared" si="1"/>
        <v>-2756</v>
      </c>
      <c r="AA24" s="423">
        <v>5082</v>
      </c>
      <c r="AB24" s="406">
        <f t="shared" si="1"/>
        <v>-62139.41</v>
      </c>
      <c r="AC24" s="40">
        <v>-57057.41</v>
      </c>
      <c r="AD24" s="483"/>
      <c r="AE24" s="84">
        <f>AF24</f>
        <v>-8469</v>
      </c>
      <c r="AF24" s="423">
        <v>-8469</v>
      </c>
      <c r="AG24" s="423">
        <f t="shared" si="3"/>
        <v>-5363</v>
      </c>
      <c r="AH24" s="40">
        <v>-13832</v>
      </c>
    </row>
    <row r="25" spans="1:34" outlineLevel="1" x14ac:dyDescent="0.25">
      <c r="A25" s="310" t="s">
        <v>217</v>
      </c>
      <c r="B25" s="302" t="s">
        <v>18</v>
      </c>
      <c r="C25" s="274"/>
      <c r="D25" s="274"/>
      <c r="E25" s="740">
        <v>82.042000000000002</v>
      </c>
      <c r="F25" s="274"/>
      <c r="G25" s="569">
        <v>78.460999999999999</v>
      </c>
      <c r="H25" s="424">
        <v>88.451340000000002</v>
      </c>
      <c r="I25" s="424">
        <v>166.91234</v>
      </c>
      <c r="J25" s="424">
        <v>85.027000000000001</v>
      </c>
      <c r="K25" s="424">
        <v>251.93933999999999</v>
      </c>
      <c r="L25" s="424">
        <v>78.997</v>
      </c>
      <c r="M25" s="86">
        <v>330.93633999999997</v>
      </c>
      <c r="N25" s="274"/>
      <c r="O25" s="569">
        <v>79</v>
      </c>
      <c r="P25" s="424">
        <v>83</v>
      </c>
      <c r="Q25" s="424">
        <v>162</v>
      </c>
      <c r="R25" s="424">
        <v>79</v>
      </c>
      <c r="S25" s="424">
        <v>241</v>
      </c>
      <c r="T25" s="424">
        <v>253</v>
      </c>
      <c r="U25" s="424">
        <v>494</v>
      </c>
      <c r="V25" s="483"/>
      <c r="W25" s="569">
        <v>-20</v>
      </c>
      <c r="X25" s="424">
        <f t="shared" si="0"/>
        <v>322</v>
      </c>
      <c r="Y25" s="424">
        <v>302</v>
      </c>
      <c r="Z25" s="408">
        <f t="shared" si="1"/>
        <v>71</v>
      </c>
      <c r="AA25" s="424">
        <v>373</v>
      </c>
      <c r="AB25" s="408">
        <f t="shared" si="1"/>
        <v>13.29000000000002</v>
      </c>
      <c r="AC25" s="86">
        <v>386.29</v>
      </c>
      <c r="AD25" s="483"/>
      <c r="AE25" s="85">
        <f t="shared" si="2"/>
        <v>346</v>
      </c>
      <c r="AF25" s="424">
        <v>346</v>
      </c>
      <c r="AG25" s="424">
        <f t="shared" si="3"/>
        <v>-64</v>
      </c>
      <c r="AH25" s="86">
        <v>282</v>
      </c>
    </row>
    <row r="26" spans="1:34" outlineLevel="1" x14ac:dyDescent="0.25">
      <c r="A26" s="310" t="s">
        <v>215</v>
      </c>
      <c r="B26" s="302" t="s">
        <v>19</v>
      </c>
      <c r="C26" s="274"/>
      <c r="D26" s="274"/>
      <c r="E26" s="740">
        <v>-6.9770000000000003</v>
      </c>
      <c r="F26" s="274"/>
      <c r="G26" s="569">
        <v>-6.5</v>
      </c>
      <c r="H26" s="424">
        <v>-6.4409999999999998</v>
      </c>
      <c r="I26" s="424">
        <v>-12.941000000000001</v>
      </c>
      <c r="J26" s="424">
        <v>-9.0069999999999997</v>
      </c>
      <c r="K26" s="424">
        <v>-21.948</v>
      </c>
      <c r="L26" s="424">
        <v>-4.444</v>
      </c>
      <c r="M26" s="86">
        <v>-26.391999999999999</v>
      </c>
      <c r="N26" s="274"/>
      <c r="O26" s="569">
        <v>-2</v>
      </c>
      <c r="P26" s="424">
        <v>-3</v>
      </c>
      <c r="Q26" s="424">
        <v>-5</v>
      </c>
      <c r="R26" s="424">
        <v>-10</v>
      </c>
      <c r="S26" s="424">
        <v>-15</v>
      </c>
      <c r="T26" s="424">
        <v>-55</v>
      </c>
      <c r="U26" s="424">
        <v>-70</v>
      </c>
      <c r="V26" s="483"/>
      <c r="W26" s="569">
        <v>-3</v>
      </c>
      <c r="X26" s="424">
        <f t="shared" si="0"/>
        <v>-3</v>
      </c>
      <c r="Y26" s="424">
        <v>-6</v>
      </c>
      <c r="Z26" s="408">
        <f t="shared" si="1"/>
        <v>-3</v>
      </c>
      <c r="AA26" s="424">
        <v>-9</v>
      </c>
      <c r="AB26" s="408">
        <f t="shared" si="1"/>
        <v>-1.6080000000000005</v>
      </c>
      <c r="AC26" s="86">
        <v>-10.608000000000001</v>
      </c>
      <c r="AD26" s="483"/>
      <c r="AE26" s="85">
        <f t="shared" si="2"/>
        <v>-4</v>
      </c>
      <c r="AF26" s="424">
        <v>-4</v>
      </c>
      <c r="AG26" s="424">
        <f t="shared" si="3"/>
        <v>-3</v>
      </c>
      <c r="AH26" s="86">
        <v>-7</v>
      </c>
    </row>
    <row r="27" spans="1:34" outlineLevel="1" x14ac:dyDescent="0.25">
      <c r="A27" s="310" t="s">
        <v>216</v>
      </c>
      <c r="B27" s="302" t="s">
        <v>20</v>
      </c>
      <c r="C27" s="274"/>
      <c r="D27" s="274"/>
      <c r="E27" s="740">
        <v>3690.598</v>
      </c>
      <c r="F27" s="274"/>
      <c r="G27" s="569">
        <v>4128.6949999999997</v>
      </c>
      <c r="H27" s="424">
        <v>4014.01</v>
      </c>
      <c r="I27" s="424">
        <v>8142.7049999999999</v>
      </c>
      <c r="J27" s="424">
        <v>4037.672</v>
      </c>
      <c r="K27" s="424">
        <v>12180.377</v>
      </c>
      <c r="L27" s="424">
        <v>3974.5749999999998</v>
      </c>
      <c r="M27" s="86">
        <v>16154.951999999999</v>
      </c>
      <c r="N27" s="274"/>
      <c r="O27" s="569">
        <v>4616</v>
      </c>
      <c r="P27" s="424">
        <v>4430</v>
      </c>
      <c r="Q27" s="424">
        <v>9046</v>
      </c>
      <c r="R27" s="424">
        <v>4480</v>
      </c>
      <c r="S27" s="424">
        <v>13526</v>
      </c>
      <c r="T27" s="424">
        <v>4390</v>
      </c>
      <c r="U27" s="424">
        <v>17916</v>
      </c>
      <c r="V27" s="483"/>
      <c r="W27" s="569">
        <v>4322</v>
      </c>
      <c r="X27" s="424">
        <f t="shared" si="0"/>
        <v>4386</v>
      </c>
      <c r="Y27" s="424">
        <v>8708</v>
      </c>
      <c r="Z27" s="408">
        <f t="shared" si="1"/>
        <v>4635</v>
      </c>
      <c r="AA27" s="424">
        <v>13343</v>
      </c>
      <c r="AB27" s="408">
        <f t="shared" si="1"/>
        <v>4780.3139999999985</v>
      </c>
      <c r="AC27" s="86">
        <v>18123.313999999998</v>
      </c>
      <c r="AD27" s="483"/>
      <c r="AE27" s="85">
        <f t="shared" si="2"/>
        <v>3251</v>
      </c>
      <c r="AF27" s="424">
        <v>3251</v>
      </c>
      <c r="AG27" s="424">
        <f t="shared" si="3"/>
        <v>4261</v>
      </c>
      <c r="AH27" s="86">
        <v>7512</v>
      </c>
    </row>
    <row r="28" spans="1:34" ht="17.25" outlineLevel="1" x14ac:dyDescent="0.4">
      <c r="A28" s="310" t="s">
        <v>218</v>
      </c>
      <c r="B28" s="302" t="s">
        <v>21</v>
      </c>
      <c r="C28" s="274"/>
      <c r="D28" s="274"/>
      <c r="E28" s="741">
        <v>45.347000000000001</v>
      </c>
      <c r="F28" s="274"/>
      <c r="G28" s="571">
        <v>394.476</v>
      </c>
      <c r="H28" s="428">
        <v>533.33500000000004</v>
      </c>
      <c r="I28" s="428">
        <v>927.81100000000004</v>
      </c>
      <c r="J28" s="428">
        <v>-1438.9590000000001</v>
      </c>
      <c r="K28" s="428">
        <v>-511.14800000000002</v>
      </c>
      <c r="L28" s="428">
        <v>-2555.8519999999999</v>
      </c>
      <c r="M28" s="273">
        <v>-3067</v>
      </c>
      <c r="N28" s="274"/>
      <c r="O28" s="571">
        <v>-80</v>
      </c>
      <c r="P28" s="428">
        <v>664</v>
      </c>
      <c r="Q28" s="428">
        <v>584</v>
      </c>
      <c r="R28" s="428">
        <v>-2315</v>
      </c>
      <c r="S28" s="428">
        <v>-1731</v>
      </c>
      <c r="T28" s="428">
        <v>-2010</v>
      </c>
      <c r="U28" s="428">
        <v>-3741</v>
      </c>
      <c r="V28" s="483"/>
      <c r="W28" s="571">
        <v>1949</v>
      </c>
      <c r="X28" s="428">
        <f t="shared" si="0"/>
        <v>-2508</v>
      </c>
      <c r="Y28" s="428">
        <v>-559</v>
      </c>
      <c r="Z28" s="410">
        <f t="shared" si="1"/>
        <v>-2566</v>
      </c>
      <c r="AA28" s="428">
        <v>-3125</v>
      </c>
      <c r="AB28" s="410">
        <f t="shared" si="1"/>
        <v>-2548.8720000000003</v>
      </c>
      <c r="AC28" s="273">
        <v>-5673.8720000000003</v>
      </c>
      <c r="AD28" s="483"/>
      <c r="AE28" s="272">
        <f t="shared" si="2"/>
        <v>-3570</v>
      </c>
      <c r="AF28" s="428">
        <v>-3570</v>
      </c>
      <c r="AG28" s="428">
        <f t="shared" si="3"/>
        <v>-308</v>
      </c>
      <c r="AH28" s="273">
        <v>-3878</v>
      </c>
    </row>
    <row r="29" spans="1:34" x14ac:dyDescent="0.25">
      <c r="A29" s="310" t="s">
        <v>219</v>
      </c>
      <c r="B29" s="308" t="s">
        <v>24</v>
      </c>
      <c r="C29" s="274"/>
      <c r="D29" s="274"/>
      <c r="E29" s="706">
        <f>E24-SUM(E25:E28)</f>
        <v>-21408.281000000003</v>
      </c>
      <c r="F29" s="274"/>
      <c r="G29" s="567">
        <f>G24-SUM(G25:G28)</f>
        <v>-437.43499999999949</v>
      </c>
      <c r="H29" s="608">
        <f t="shared" ref="H29:M29" si="13">H24-SUM(H25:H28)</f>
        <v>261.00300000000243</v>
      </c>
      <c r="I29" s="608">
        <f t="shared" si="13"/>
        <v>-176.43199999999342</v>
      </c>
      <c r="J29" s="608">
        <f t="shared" si="13"/>
        <v>-4533.4259999999995</v>
      </c>
      <c r="K29" s="608">
        <f t="shared" si="13"/>
        <v>-4709.8579999999984</v>
      </c>
      <c r="L29" s="608">
        <f t="shared" si="13"/>
        <v>-4757.2639999999992</v>
      </c>
      <c r="M29" s="622">
        <f t="shared" si="13"/>
        <v>-9467.1219999999885</v>
      </c>
      <c r="N29" s="274"/>
      <c r="O29" s="567">
        <f>O24-SUM(O25:O28)</f>
        <v>-1313</v>
      </c>
      <c r="P29" s="608">
        <f t="shared" ref="P29:Q29" si="14">P24-SUM(P25:P28)</f>
        <v>325</v>
      </c>
      <c r="Q29" s="608">
        <f t="shared" si="14"/>
        <v>-988</v>
      </c>
      <c r="R29" s="608">
        <f t="shared" ref="R29:S29" si="15">R24-SUM(R25:R28)</f>
        <v>-4273</v>
      </c>
      <c r="S29" s="608">
        <f t="shared" si="15"/>
        <v>-5261</v>
      </c>
      <c r="T29" s="608">
        <f t="shared" ref="T29:U29" si="16">T24-SUM(T25:T28)</f>
        <v>-5314</v>
      </c>
      <c r="U29" s="608">
        <f t="shared" si="16"/>
        <v>-10575</v>
      </c>
      <c r="V29" s="483"/>
      <c r="W29" s="567">
        <v>-1227</v>
      </c>
      <c r="X29" s="423">
        <f t="shared" si="0"/>
        <v>620</v>
      </c>
      <c r="Y29" s="423">
        <v>-607</v>
      </c>
      <c r="Z29" s="406">
        <f t="shared" si="1"/>
        <v>-4893</v>
      </c>
      <c r="AA29" s="423">
        <v>-5500</v>
      </c>
      <c r="AB29" s="406">
        <f t="shared" si="1"/>
        <v>-64382.534</v>
      </c>
      <c r="AC29" s="40">
        <v>-69882.534</v>
      </c>
      <c r="AD29" s="483"/>
      <c r="AE29" s="84">
        <f t="shared" si="2"/>
        <v>-8492</v>
      </c>
      <c r="AF29" s="423">
        <v>-8492</v>
      </c>
      <c r="AG29" s="423">
        <f t="shared" si="3"/>
        <v>-9249</v>
      </c>
      <c r="AH29" s="40">
        <f>AH24-SUM(AH25:AH28)</f>
        <v>-17741</v>
      </c>
    </row>
    <row r="30" spans="1:34" outlineLevel="1" x14ac:dyDescent="0.25">
      <c r="B30" s="307" t="s">
        <v>54</v>
      </c>
      <c r="C30" s="274"/>
      <c r="D30" s="274"/>
      <c r="E30" s="740"/>
      <c r="F30" s="274"/>
      <c r="G30" s="569"/>
      <c r="H30" s="423"/>
      <c r="I30" s="423"/>
      <c r="J30" s="423"/>
      <c r="K30" s="423"/>
      <c r="L30" s="423"/>
      <c r="M30" s="40"/>
      <c r="N30" s="274"/>
      <c r="O30" s="569"/>
      <c r="P30" s="423"/>
      <c r="Q30" s="423"/>
      <c r="R30" s="423"/>
      <c r="S30" s="423"/>
      <c r="T30" s="423"/>
      <c r="U30" s="423"/>
      <c r="V30" s="483"/>
      <c r="W30" s="569"/>
      <c r="X30" s="423">
        <f t="shared" si="0"/>
        <v>0</v>
      </c>
      <c r="Y30" s="423"/>
      <c r="Z30" s="408"/>
      <c r="AA30" s="423"/>
      <c r="AB30" s="408"/>
      <c r="AC30" s="40"/>
      <c r="AD30" s="483"/>
      <c r="AE30" s="84">
        <f t="shared" si="2"/>
        <v>0</v>
      </c>
      <c r="AF30" s="423"/>
      <c r="AG30" s="423">
        <f t="shared" si="3"/>
        <v>0</v>
      </c>
      <c r="AH30" s="40">
        <v>0</v>
      </c>
    </row>
    <row r="31" spans="1:34" outlineLevel="1" x14ac:dyDescent="0.25">
      <c r="A31" s="310" t="s">
        <v>21</v>
      </c>
      <c r="B31" s="302" t="s">
        <v>21</v>
      </c>
      <c r="C31" s="274"/>
      <c r="D31" s="274"/>
      <c r="E31" s="740">
        <f>E28</f>
        <v>45.347000000000001</v>
      </c>
      <c r="F31" s="274"/>
      <c r="G31" s="569">
        <f>G28</f>
        <v>394.476</v>
      </c>
      <c r="H31" s="609">
        <v>664</v>
      </c>
      <c r="I31" s="609">
        <f t="shared" ref="I31" si="17">I28</f>
        <v>927.81100000000004</v>
      </c>
      <c r="J31" s="609">
        <f>J28</f>
        <v>-1438.9590000000001</v>
      </c>
      <c r="K31" s="609">
        <f t="shared" ref="K31:M31" si="18">K28</f>
        <v>-511.14800000000002</v>
      </c>
      <c r="L31" s="609">
        <f t="shared" si="18"/>
        <v>-2555.8519999999999</v>
      </c>
      <c r="M31" s="623">
        <f t="shared" si="18"/>
        <v>-3067</v>
      </c>
      <c r="N31" s="274"/>
      <c r="O31" s="569">
        <f>O28</f>
        <v>-80</v>
      </c>
      <c r="P31" s="609">
        <v>664</v>
      </c>
      <c r="Q31" s="609">
        <f t="shared" ref="Q31:S31" si="19">Q28</f>
        <v>584</v>
      </c>
      <c r="R31" s="609">
        <f>R28</f>
        <v>-2315</v>
      </c>
      <c r="S31" s="609">
        <f t="shared" si="19"/>
        <v>-1731</v>
      </c>
      <c r="T31" s="609">
        <f t="shared" ref="T31:U31" si="20">T28</f>
        <v>-2010</v>
      </c>
      <c r="U31" s="609">
        <f t="shared" si="20"/>
        <v>-3741</v>
      </c>
      <c r="V31" s="483"/>
      <c r="W31" s="569">
        <v>1949</v>
      </c>
      <c r="X31" s="424">
        <f t="shared" si="0"/>
        <v>-2508</v>
      </c>
      <c r="Y31" s="424">
        <v>-559</v>
      </c>
      <c r="Z31" s="408">
        <f t="shared" ref="Z31:AB36" si="21">AA31-Y31</f>
        <v>-2566</v>
      </c>
      <c r="AA31" s="424">
        <v>-3125</v>
      </c>
      <c r="AB31" s="408">
        <f t="shared" si="21"/>
        <v>-2548.8720000000003</v>
      </c>
      <c r="AC31" s="86">
        <v>-5673.8720000000003</v>
      </c>
      <c r="AD31" s="483"/>
      <c r="AE31" s="85">
        <f t="shared" si="2"/>
        <v>-3570</v>
      </c>
      <c r="AF31" s="424">
        <v>-3570</v>
      </c>
      <c r="AG31" s="424">
        <f t="shared" si="3"/>
        <v>-308</v>
      </c>
      <c r="AH31" s="86">
        <v>-3878</v>
      </c>
    </row>
    <row r="32" spans="1:34" outlineLevel="1" x14ac:dyDescent="0.25">
      <c r="A32" s="310" t="s">
        <v>195</v>
      </c>
      <c r="B32" s="302" t="s">
        <v>19</v>
      </c>
      <c r="C32" s="274"/>
      <c r="D32" s="274"/>
      <c r="E32" s="740">
        <f>E26</f>
        <v>-6.9770000000000003</v>
      </c>
      <c r="F32" s="274"/>
      <c r="G32" s="569">
        <f>G26</f>
        <v>-6.5</v>
      </c>
      <c r="H32" s="609">
        <v>-3</v>
      </c>
      <c r="I32" s="609">
        <f t="shared" ref="I32" si="22">I26</f>
        <v>-12.941000000000001</v>
      </c>
      <c r="J32" s="609">
        <f>J26</f>
        <v>-9.0069999999999997</v>
      </c>
      <c r="K32" s="609">
        <f t="shared" ref="K32:M32" si="23">K26</f>
        <v>-21.948</v>
      </c>
      <c r="L32" s="609">
        <f t="shared" si="23"/>
        <v>-4.444</v>
      </c>
      <c r="M32" s="623">
        <f t="shared" si="23"/>
        <v>-26.391999999999999</v>
      </c>
      <c r="N32" s="274"/>
      <c r="O32" s="569">
        <f>O26</f>
        <v>-2</v>
      </c>
      <c r="P32" s="609">
        <v>-3</v>
      </c>
      <c r="Q32" s="609">
        <f t="shared" ref="Q32:S32" si="24">Q26</f>
        <v>-5</v>
      </c>
      <c r="R32" s="609">
        <f>R26</f>
        <v>-10</v>
      </c>
      <c r="S32" s="609">
        <f t="shared" si="24"/>
        <v>-15</v>
      </c>
      <c r="T32" s="609">
        <f t="shared" ref="T32:U32" si="25">T26</f>
        <v>-55</v>
      </c>
      <c r="U32" s="609">
        <f t="shared" si="25"/>
        <v>-70</v>
      </c>
      <c r="V32" s="483"/>
      <c r="W32" s="569">
        <v>-2</v>
      </c>
      <c r="X32" s="424">
        <f t="shared" si="0"/>
        <v>-4</v>
      </c>
      <c r="Y32" s="424">
        <v>-6</v>
      </c>
      <c r="Z32" s="408">
        <f t="shared" si="21"/>
        <v>-3</v>
      </c>
      <c r="AA32" s="424">
        <v>-9</v>
      </c>
      <c r="AB32" s="408">
        <f t="shared" si="21"/>
        <v>-1.6080000000000005</v>
      </c>
      <c r="AC32" s="86">
        <v>-10.608000000000001</v>
      </c>
      <c r="AD32" s="483"/>
      <c r="AE32" s="85">
        <f t="shared" si="2"/>
        <v>-4</v>
      </c>
      <c r="AF32" s="424">
        <v>-4</v>
      </c>
      <c r="AG32" s="424">
        <f t="shared" si="3"/>
        <v>-3</v>
      </c>
      <c r="AH32" s="86">
        <v>-7</v>
      </c>
    </row>
    <row r="33" spans="1:34" outlineLevel="1" x14ac:dyDescent="0.25">
      <c r="A33" s="310" t="s">
        <v>95</v>
      </c>
      <c r="B33" s="302" t="s">
        <v>20</v>
      </c>
      <c r="C33" s="274"/>
      <c r="D33" s="274"/>
      <c r="E33" s="740">
        <f>E27</f>
        <v>3690.598</v>
      </c>
      <c r="F33" s="274"/>
      <c r="G33" s="569">
        <f>G27</f>
        <v>4128.6949999999997</v>
      </c>
      <c r="H33" s="609">
        <v>4430</v>
      </c>
      <c r="I33" s="609">
        <f t="shared" ref="I33" si="26">I27</f>
        <v>8142.7049999999999</v>
      </c>
      <c r="J33" s="609">
        <f>J27</f>
        <v>4037.672</v>
      </c>
      <c r="K33" s="609">
        <f t="shared" ref="K33:M33" si="27">K27</f>
        <v>12180.377</v>
      </c>
      <c r="L33" s="609">
        <f t="shared" si="27"/>
        <v>3974.5749999999998</v>
      </c>
      <c r="M33" s="623">
        <f t="shared" si="27"/>
        <v>16154.951999999999</v>
      </c>
      <c r="N33" s="274"/>
      <c r="O33" s="569">
        <f>O27</f>
        <v>4616</v>
      </c>
      <c r="P33" s="609">
        <v>4430</v>
      </c>
      <c r="Q33" s="609">
        <f t="shared" ref="Q33:S33" si="28">Q27</f>
        <v>9046</v>
      </c>
      <c r="R33" s="609">
        <f>R27</f>
        <v>4480</v>
      </c>
      <c r="S33" s="609">
        <f t="shared" si="28"/>
        <v>13526</v>
      </c>
      <c r="T33" s="609">
        <f t="shared" ref="T33:U33" si="29">T27</f>
        <v>4390</v>
      </c>
      <c r="U33" s="609">
        <f t="shared" si="29"/>
        <v>17916</v>
      </c>
      <c r="V33" s="483"/>
      <c r="W33" s="569">
        <v>4322</v>
      </c>
      <c r="X33" s="424">
        <f t="shared" si="0"/>
        <v>4386</v>
      </c>
      <c r="Y33" s="424">
        <v>8708</v>
      </c>
      <c r="Z33" s="408">
        <f t="shared" si="21"/>
        <v>4635</v>
      </c>
      <c r="AA33" s="424">
        <v>13343</v>
      </c>
      <c r="AB33" s="408">
        <f t="shared" si="21"/>
        <v>4780.3139999999985</v>
      </c>
      <c r="AC33" s="86">
        <v>18123.313999999998</v>
      </c>
      <c r="AD33" s="483"/>
      <c r="AE33" s="85">
        <f t="shared" si="2"/>
        <v>3251</v>
      </c>
      <c r="AF33" s="424">
        <v>3251</v>
      </c>
      <c r="AG33" s="424">
        <f t="shared" si="3"/>
        <v>4261</v>
      </c>
      <c r="AH33" s="86">
        <v>7512</v>
      </c>
    </row>
    <row r="34" spans="1:34" outlineLevel="1" x14ac:dyDescent="0.25">
      <c r="A34" s="310" t="s">
        <v>96</v>
      </c>
      <c r="B34" s="302" t="s">
        <v>55</v>
      </c>
      <c r="C34" s="274"/>
      <c r="D34" s="274"/>
      <c r="E34" s="742">
        <v>5157</v>
      </c>
      <c r="F34" s="274"/>
      <c r="G34" s="624">
        <v>5237</v>
      </c>
      <c r="H34" s="586">
        <v>5262</v>
      </c>
      <c r="I34" s="586">
        <v>10499</v>
      </c>
      <c r="J34" s="586">
        <v>5219</v>
      </c>
      <c r="K34" s="586">
        <v>15718</v>
      </c>
      <c r="L34" s="586">
        <v>5280</v>
      </c>
      <c r="M34" s="595">
        <v>20998</v>
      </c>
      <c r="N34" s="274"/>
      <c r="O34" s="569">
        <v>5248</v>
      </c>
      <c r="P34" s="424">
        <v>5245</v>
      </c>
      <c r="Q34" s="424">
        <v>10493</v>
      </c>
      <c r="R34" s="424">
        <v>5258</v>
      </c>
      <c r="S34" s="424">
        <v>15751</v>
      </c>
      <c r="T34" s="424">
        <f>U34-S34</f>
        <v>5253</v>
      </c>
      <c r="U34" s="424">
        <v>21004</v>
      </c>
      <c r="V34" s="483"/>
      <c r="W34" s="569">
        <v>5278</v>
      </c>
      <c r="X34" s="424">
        <f t="shared" si="0"/>
        <v>5282</v>
      </c>
      <c r="Y34" s="424">
        <v>10560</v>
      </c>
      <c r="Z34" s="408">
        <f t="shared" si="21"/>
        <v>5281</v>
      </c>
      <c r="AA34" s="424">
        <v>15841</v>
      </c>
      <c r="AB34" s="408">
        <f t="shared" si="21"/>
        <v>5314.41</v>
      </c>
      <c r="AC34" s="86">
        <v>21155.41</v>
      </c>
      <c r="AD34" s="483"/>
      <c r="AE34" s="85">
        <f t="shared" si="2"/>
        <v>4108</v>
      </c>
      <c r="AF34" s="424">
        <v>4108</v>
      </c>
      <c r="AG34" s="424">
        <f t="shared" si="3"/>
        <v>6187</v>
      </c>
      <c r="AH34" s="86">
        <f>10465-AH35</f>
        <v>10295</v>
      </c>
    </row>
    <row r="35" spans="1:34" outlineLevel="1" x14ac:dyDescent="0.25">
      <c r="A35" s="310" t="s">
        <v>220</v>
      </c>
      <c r="B35" s="302" t="s">
        <v>56</v>
      </c>
      <c r="C35" s="274"/>
      <c r="D35" s="274"/>
      <c r="E35" s="743">
        <v>77</v>
      </c>
      <c r="F35" s="274"/>
      <c r="G35" s="628">
        <v>78</v>
      </c>
      <c r="H35" s="634">
        <v>77</v>
      </c>
      <c r="I35" s="634">
        <v>155</v>
      </c>
      <c r="J35" s="634">
        <v>77</v>
      </c>
      <c r="K35" s="634">
        <v>232</v>
      </c>
      <c r="L35" s="634">
        <v>77</v>
      </c>
      <c r="M35" s="635">
        <v>309</v>
      </c>
      <c r="N35" s="274"/>
      <c r="O35" s="570">
        <v>79</v>
      </c>
      <c r="P35" s="425">
        <v>78</v>
      </c>
      <c r="Q35" s="425">
        <v>157</v>
      </c>
      <c r="R35" s="425">
        <v>79</v>
      </c>
      <c r="S35" s="425">
        <v>236</v>
      </c>
      <c r="T35" s="425">
        <f>U35-S35</f>
        <v>78</v>
      </c>
      <c r="U35" s="425">
        <v>314</v>
      </c>
      <c r="V35" s="483"/>
      <c r="W35" s="570">
        <v>82</v>
      </c>
      <c r="X35" s="425">
        <f t="shared" si="0"/>
        <v>81</v>
      </c>
      <c r="Y35" s="425">
        <v>163</v>
      </c>
      <c r="Z35" s="409">
        <f t="shared" si="21"/>
        <v>80</v>
      </c>
      <c r="AA35" s="425">
        <v>243</v>
      </c>
      <c r="AB35" s="409">
        <f t="shared" si="21"/>
        <v>79.589999999999975</v>
      </c>
      <c r="AC35" s="193">
        <v>322.58999999999997</v>
      </c>
      <c r="AD35" s="483"/>
      <c r="AE35" s="198">
        <f t="shared" si="2"/>
        <v>86</v>
      </c>
      <c r="AF35" s="425">
        <v>86</v>
      </c>
      <c r="AG35" s="425">
        <f t="shared" si="3"/>
        <v>84</v>
      </c>
      <c r="AH35" s="193">
        <v>170</v>
      </c>
    </row>
    <row r="36" spans="1:34" x14ac:dyDescent="0.25">
      <c r="A36" s="310" t="s">
        <v>57</v>
      </c>
      <c r="B36" s="308" t="s">
        <v>57</v>
      </c>
      <c r="C36" s="274"/>
      <c r="D36" s="274"/>
      <c r="E36" s="705">
        <f>SUM(E29:E35)</f>
        <v>-12445.313000000002</v>
      </c>
      <c r="F36" s="274"/>
      <c r="G36" s="567">
        <f>SUM(G29:G35)</f>
        <v>9394.2360000000008</v>
      </c>
      <c r="H36" s="608">
        <f t="shared" ref="H36:M36" si="30">SUM(H29:H35)</f>
        <v>10691.003000000002</v>
      </c>
      <c r="I36" s="608">
        <f t="shared" si="30"/>
        <v>19535.143000000007</v>
      </c>
      <c r="J36" s="608">
        <f t="shared" si="30"/>
        <v>3352.2800000000011</v>
      </c>
      <c r="K36" s="608">
        <f t="shared" si="30"/>
        <v>22887.423000000003</v>
      </c>
      <c r="L36" s="608">
        <f t="shared" si="30"/>
        <v>2014.0150000000003</v>
      </c>
      <c r="M36" s="622">
        <f t="shared" si="30"/>
        <v>24901.438000000009</v>
      </c>
      <c r="N36" s="274"/>
      <c r="O36" s="567">
        <f>SUM(O29:O35)</f>
        <v>8548</v>
      </c>
      <c r="P36" s="608">
        <f t="shared" ref="P36:Q36" si="31">SUM(P29:P35)</f>
        <v>10739</v>
      </c>
      <c r="Q36" s="608">
        <f t="shared" si="31"/>
        <v>19287</v>
      </c>
      <c r="R36" s="608">
        <f t="shared" ref="R36:S36" si="32">SUM(R29:R35)</f>
        <v>3219</v>
      </c>
      <c r="S36" s="608">
        <f t="shared" si="32"/>
        <v>22506</v>
      </c>
      <c r="T36" s="608">
        <f t="shared" ref="T36:U36" si="33">SUM(T29:T35)</f>
        <v>2342</v>
      </c>
      <c r="U36" s="608">
        <f t="shared" si="33"/>
        <v>24848</v>
      </c>
      <c r="V36" s="483"/>
      <c r="W36" s="567">
        <v>10402</v>
      </c>
      <c r="X36" s="423">
        <f t="shared" si="0"/>
        <v>7857</v>
      </c>
      <c r="Y36" s="423">
        <v>18259</v>
      </c>
      <c r="Z36" s="406">
        <f t="shared" si="21"/>
        <v>2534</v>
      </c>
      <c r="AA36" s="423">
        <v>20793</v>
      </c>
      <c r="AB36" s="406">
        <f t="shared" si="21"/>
        <v>-56759.165999999997</v>
      </c>
      <c r="AC36" s="40">
        <v>-35966.165999999997</v>
      </c>
      <c r="AD36" s="483"/>
      <c r="AE36" s="84">
        <f t="shared" si="2"/>
        <v>-4621</v>
      </c>
      <c r="AF36" s="423">
        <v>-4621</v>
      </c>
      <c r="AG36" s="423">
        <f t="shared" si="3"/>
        <v>972</v>
      </c>
      <c r="AH36" s="40">
        <v>-3649</v>
      </c>
    </row>
    <row r="37" spans="1:34" outlineLevel="1" x14ac:dyDescent="0.25">
      <c r="A37" s="310" t="s">
        <v>233</v>
      </c>
      <c r="B37" s="302" t="s">
        <v>58</v>
      </c>
      <c r="C37" s="274"/>
      <c r="D37" s="274"/>
      <c r="E37" s="742"/>
      <c r="F37" s="274"/>
      <c r="G37" s="569"/>
      <c r="H37" s="424"/>
      <c r="I37" s="424"/>
      <c r="J37" s="424"/>
      <c r="K37" s="424"/>
      <c r="L37" s="424"/>
      <c r="M37" s="86"/>
      <c r="N37" s="274"/>
      <c r="O37" s="569"/>
      <c r="P37" s="424"/>
      <c r="Q37" s="424"/>
      <c r="R37" s="424"/>
      <c r="S37" s="424"/>
      <c r="T37" s="424"/>
      <c r="U37" s="424"/>
      <c r="V37" s="483"/>
      <c r="W37" s="569"/>
      <c r="X37" s="424">
        <f t="shared" si="0"/>
        <v>0</v>
      </c>
      <c r="Y37" s="424"/>
      <c r="Z37" s="408"/>
      <c r="AA37" s="424"/>
      <c r="AB37" s="408"/>
      <c r="AC37" s="86"/>
      <c r="AD37" s="483"/>
      <c r="AE37" s="85">
        <f t="shared" si="2"/>
        <v>0</v>
      </c>
      <c r="AF37" s="424"/>
      <c r="AG37" s="424">
        <f t="shared" si="3"/>
        <v>0</v>
      </c>
      <c r="AH37" s="86">
        <v>0</v>
      </c>
    </row>
    <row r="38" spans="1:34" outlineLevel="1" x14ac:dyDescent="0.25">
      <c r="A38" s="310" t="s">
        <v>59</v>
      </c>
      <c r="B38" s="302" t="s">
        <v>59</v>
      </c>
      <c r="C38" s="274"/>
      <c r="D38" s="274"/>
      <c r="E38" s="742">
        <v>318</v>
      </c>
      <c r="F38" s="274"/>
      <c r="G38" s="624">
        <v>549</v>
      </c>
      <c r="H38" s="542">
        <f>I38-G38</f>
        <v>619</v>
      </c>
      <c r="I38" s="586">
        <v>1168</v>
      </c>
      <c r="J38" s="542">
        <f>K38-I38</f>
        <v>585</v>
      </c>
      <c r="K38" s="586">
        <v>1753</v>
      </c>
      <c r="L38" s="542">
        <f>M38-K38</f>
        <v>594</v>
      </c>
      <c r="M38" s="595">
        <v>2347</v>
      </c>
      <c r="N38" s="274"/>
      <c r="O38" s="569">
        <v>680</v>
      </c>
      <c r="P38" s="424">
        <v>315</v>
      </c>
      <c r="Q38" s="424">
        <v>995</v>
      </c>
      <c r="R38" s="424">
        <v>828</v>
      </c>
      <c r="S38" s="424">
        <v>1823</v>
      </c>
      <c r="T38" s="424">
        <f>U38-S38</f>
        <v>559</v>
      </c>
      <c r="U38" s="424">
        <v>2382</v>
      </c>
      <c r="V38" s="483"/>
      <c r="W38" s="569">
        <v>-708</v>
      </c>
      <c r="X38" s="424">
        <f t="shared" si="0"/>
        <v>665</v>
      </c>
      <c r="Y38" s="424">
        <v>-43</v>
      </c>
      <c r="Z38" s="408">
        <f t="shared" ref="Z38:AB40" si="34">AA38-Y38</f>
        <v>262</v>
      </c>
      <c r="AA38" s="424">
        <v>219</v>
      </c>
      <c r="AB38" s="408">
        <f t="shared" si="34"/>
        <v>761</v>
      </c>
      <c r="AC38" s="86">
        <v>980</v>
      </c>
      <c r="AD38" s="483"/>
      <c r="AE38" s="85">
        <f t="shared" si="2"/>
        <v>0</v>
      </c>
      <c r="AF38" s="424">
        <v>0</v>
      </c>
      <c r="AG38" s="424">
        <f t="shared" si="3"/>
        <v>2142</v>
      </c>
      <c r="AH38" s="86">
        <v>2142</v>
      </c>
    </row>
    <row r="39" spans="1:34" outlineLevel="1" x14ac:dyDescent="0.25">
      <c r="A39" s="310" t="s">
        <v>71</v>
      </c>
      <c r="B39" s="302" t="s">
        <v>60</v>
      </c>
      <c r="C39" s="274"/>
      <c r="D39" s="274"/>
      <c r="E39" s="742">
        <f>E23</f>
        <v>20500</v>
      </c>
      <c r="F39" s="274"/>
      <c r="G39" s="624">
        <v>0</v>
      </c>
      <c r="H39" s="586">
        <v>0</v>
      </c>
      <c r="I39" s="586">
        <v>0</v>
      </c>
      <c r="J39" s="586">
        <v>0</v>
      </c>
      <c r="K39" s="586">
        <v>0</v>
      </c>
      <c r="L39" s="586">
        <v>0</v>
      </c>
      <c r="M39" s="595">
        <v>0</v>
      </c>
      <c r="N39" s="274"/>
      <c r="O39" s="569">
        <v>0</v>
      </c>
      <c r="P39" s="424">
        <v>0</v>
      </c>
      <c r="Q39" s="424">
        <v>0</v>
      </c>
      <c r="R39" s="424">
        <v>0</v>
      </c>
      <c r="S39" s="424">
        <v>0</v>
      </c>
      <c r="T39" s="424">
        <v>0</v>
      </c>
      <c r="U39" s="424">
        <v>0</v>
      </c>
      <c r="V39" s="483"/>
      <c r="W39" s="569">
        <v>0</v>
      </c>
      <c r="X39" s="424">
        <f t="shared" si="0"/>
        <v>0</v>
      </c>
      <c r="Y39" s="424">
        <v>0</v>
      </c>
      <c r="Z39" s="408">
        <f t="shared" si="34"/>
        <v>0</v>
      </c>
      <c r="AA39" s="424">
        <v>0</v>
      </c>
      <c r="AB39" s="408">
        <f t="shared" si="34"/>
        <v>57810</v>
      </c>
      <c r="AC39" s="86">
        <v>57810</v>
      </c>
      <c r="AD39" s="483"/>
      <c r="AE39" s="85">
        <f t="shared" si="2"/>
        <v>0</v>
      </c>
      <c r="AF39" s="424"/>
      <c r="AG39" s="424">
        <f t="shared" si="3"/>
        <v>0</v>
      </c>
      <c r="AH39" s="86">
        <v>0</v>
      </c>
    </row>
    <row r="40" spans="1:34" outlineLevel="1" x14ac:dyDescent="0.25">
      <c r="A40" s="310" t="s">
        <v>98</v>
      </c>
      <c r="B40" s="302" t="s">
        <v>62</v>
      </c>
      <c r="C40" s="274"/>
      <c r="D40" s="274"/>
      <c r="E40" s="742">
        <v>0</v>
      </c>
      <c r="F40" s="274"/>
      <c r="G40" s="624">
        <v>0</v>
      </c>
      <c r="H40" s="586">
        <v>0</v>
      </c>
      <c r="I40" s="586">
        <v>0</v>
      </c>
      <c r="J40" s="586">
        <v>0</v>
      </c>
      <c r="K40" s="586">
        <v>0</v>
      </c>
      <c r="L40" s="586">
        <v>0</v>
      </c>
      <c r="M40" s="595">
        <v>0</v>
      </c>
      <c r="N40" s="274"/>
      <c r="O40" s="569">
        <v>0</v>
      </c>
      <c r="P40" s="424">
        <v>0</v>
      </c>
      <c r="Q40" s="424">
        <v>0</v>
      </c>
      <c r="R40" s="424">
        <v>0</v>
      </c>
      <c r="S40" s="424">
        <v>0</v>
      </c>
      <c r="T40" s="424">
        <v>0</v>
      </c>
      <c r="U40" s="424">
        <v>0</v>
      </c>
      <c r="V40" s="483"/>
      <c r="W40" s="569">
        <v>0</v>
      </c>
      <c r="X40" s="424">
        <f t="shared" si="0"/>
        <v>0</v>
      </c>
      <c r="Y40" s="424">
        <v>0</v>
      </c>
      <c r="Z40" s="408">
        <f t="shared" si="34"/>
        <v>0</v>
      </c>
      <c r="AA40" s="424">
        <v>0</v>
      </c>
      <c r="AB40" s="408">
        <f t="shared" si="34"/>
        <v>0</v>
      </c>
      <c r="AC40" s="86">
        <v>0</v>
      </c>
      <c r="AD40" s="483"/>
      <c r="AE40" s="85">
        <f t="shared" si="2"/>
        <v>5680</v>
      </c>
      <c r="AF40" s="424">
        <v>5680</v>
      </c>
      <c r="AG40" s="424">
        <f t="shared" si="3"/>
        <v>0</v>
      </c>
      <c r="AH40" s="86">
        <v>5680</v>
      </c>
    </row>
    <row r="41" spans="1:34" outlineLevel="1" x14ac:dyDescent="0.25">
      <c r="B41" s="302" t="s">
        <v>63</v>
      </c>
      <c r="C41" s="274"/>
      <c r="D41" s="274"/>
      <c r="E41" s="742">
        <v>0</v>
      </c>
      <c r="F41" s="274"/>
      <c r="G41" s="624">
        <v>0</v>
      </c>
      <c r="H41" s="586">
        <v>0</v>
      </c>
      <c r="I41" s="586">
        <v>0</v>
      </c>
      <c r="J41" s="586">
        <v>0</v>
      </c>
      <c r="K41" s="586">
        <v>0</v>
      </c>
      <c r="L41" s="586">
        <v>0</v>
      </c>
      <c r="M41" s="595">
        <v>0</v>
      </c>
      <c r="N41" s="274"/>
      <c r="O41" s="569">
        <v>0</v>
      </c>
      <c r="P41" s="424">
        <v>0</v>
      </c>
      <c r="Q41" s="424">
        <v>0</v>
      </c>
      <c r="R41" s="424">
        <v>0</v>
      </c>
      <c r="S41" s="424">
        <v>0</v>
      </c>
      <c r="T41" s="424">
        <v>0</v>
      </c>
      <c r="U41" s="424">
        <v>0</v>
      </c>
      <c r="V41" s="483"/>
      <c r="W41" s="569">
        <v>0</v>
      </c>
      <c r="X41" s="424">
        <f t="shared" si="0"/>
        <v>0</v>
      </c>
      <c r="Y41" s="424">
        <v>0</v>
      </c>
      <c r="Z41" s="408">
        <v>0</v>
      </c>
      <c r="AA41" s="424">
        <v>0</v>
      </c>
      <c r="AB41" s="408">
        <v>0</v>
      </c>
      <c r="AC41" s="86">
        <v>0</v>
      </c>
      <c r="AD41" s="483"/>
      <c r="AE41" s="85">
        <f t="shared" si="2"/>
        <v>0</v>
      </c>
      <c r="AF41" s="424"/>
      <c r="AG41" s="424">
        <f t="shared" si="3"/>
        <v>0</v>
      </c>
      <c r="AH41" s="86">
        <v>0</v>
      </c>
    </row>
    <row r="42" spans="1:34" outlineLevel="1" x14ac:dyDescent="0.25">
      <c r="A42" s="310" t="s">
        <v>157</v>
      </c>
      <c r="B42" s="302" t="s">
        <v>86</v>
      </c>
      <c r="C42" s="274"/>
      <c r="D42" s="274"/>
      <c r="E42" s="742">
        <v>0</v>
      </c>
      <c r="F42" s="274"/>
      <c r="G42" s="624">
        <v>0</v>
      </c>
      <c r="H42" s="586">
        <v>0</v>
      </c>
      <c r="I42" s="586">
        <v>0</v>
      </c>
      <c r="J42" s="586">
        <v>0</v>
      </c>
      <c r="K42" s="586">
        <v>0</v>
      </c>
      <c r="L42" s="586">
        <v>0</v>
      </c>
      <c r="M42" s="595">
        <v>0</v>
      </c>
      <c r="N42" s="274"/>
      <c r="O42" s="569">
        <v>0</v>
      </c>
      <c r="P42" s="424">
        <v>0</v>
      </c>
      <c r="Q42" s="424">
        <v>0</v>
      </c>
      <c r="R42" s="424">
        <v>0</v>
      </c>
      <c r="S42" s="424">
        <v>0</v>
      </c>
      <c r="T42" s="424">
        <v>0</v>
      </c>
      <c r="U42" s="424">
        <v>0</v>
      </c>
      <c r="V42" s="483"/>
      <c r="W42" s="569">
        <v>1187.5</v>
      </c>
      <c r="X42" s="424">
        <f t="shared" si="0"/>
        <v>1187.5</v>
      </c>
      <c r="Y42" s="424">
        <v>2375</v>
      </c>
      <c r="Z42" s="408">
        <f t="shared" ref="Z42:AB44" si="35">AA42-Y42</f>
        <v>0</v>
      </c>
      <c r="AA42" s="424">
        <v>2375</v>
      </c>
      <c r="AB42" s="408">
        <f t="shared" si="35"/>
        <v>0</v>
      </c>
      <c r="AC42" s="86">
        <v>2375</v>
      </c>
      <c r="AD42" s="483"/>
      <c r="AE42" s="85">
        <f t="shared" si="2"/>
        <v>1063</v>
      </c>
      <c r="AF42" s="424">
        <v>1063</v>
      </c>
      <c r="AG42" s="424">
        <f t="shared" si="3"/>
        <v>1312</v>
      </c>
      <c r="AH42" s="86">
        <v>2375</v>
      </c>
    </row>
    <row r="43" spans="1:34" ht="17.25" outlineLevel="1" x14ac:dyDescent="0.4">
      <c r="A43" s="310" t="s">
        <v>163</v>
      </c>
      <c r="B43" s="302" t="s">
        <v>34</v>
      </c>
      <c r="C43" s="274"/>
      <c r="D43" s="274"/>
      <c r="E43" s="750">
        <v>394</v>
      </c>
      <c r="F43" s="274"/>
      <c r="G43" s="686">
        <v>0.82399999999999995</v>
      </c>
      <c r="H43" s="687">
        <v>11.087339999999996</v>
      </c>
      <c r="I43" s="687">
        <v>11.911339999999997</v>
      </c>
      <c r="J43" s="687">
        <v>7.915</v>
      </c>
      <c r="K43" s="687">
        <v>19.826339999999995</v>
      </c>
      <c r="L43" s="687">
        <f>2.114+667</f>
        <v>669.11400000000003</v>
      </c>
      <c r="M43" s="688">
        <f>21.94034+667</f>
        <v>688.94033999999999</v>
      </c>
      <c r="N43" s="274"/>
      <c r="O43" s="571">
        <v>0</v>
      </c>
      <c r="P43" s="428">
        <v>4</v>
      </c>
      <c r="Q43" s="428">
        <v>3</v>
      </c>
      <c r="R43" s="428">
        <v>1</v>
      </c>
      <c r="S43" s="428">
        <v>5</v>
      </c>
      <c r="T43" s="428">
        <f>U43-S43</f>
        <v>176</v>
      </c>
      <c r="U43" s="428">
        <v>181</v>
      </c>
      <c r="V43" s="483"/>
      <c r="W43" s="571">
        <v>-104</v>
      </c>
      <c r="X43" s="428">
        <f t="shared" si="0"/>
        <v>243</v>
      </c>
      <c r="Y43" s="428">
        <v>139</v>
      </c>
      <c r="Z43" s="410">
        <f t="shared" si="35"/>
        <v>-9</v>
      </c>
      <c r="AA43" s="428">
        <v>130</v>
      </c>
      <c r="AB43" s="410">
        <f t="shared" si="35"/>
        <v>-66.3</v>
      </c>
      <c r="AC43" s="273">
        <v>63.7</v>
      </c>
      <c r="AD43" s="483"/>
      <c r="AE43" s="272">
        <f t="shared" si="2"/>
        <v>260</v>
      </c>
      <c r="AF43" s="428">
        <v>260</v>
      </c>
      <c r="AG43" s="428">
        <f t="shared" si="3"/>
        <v>-148</v>
      </c>
      <c r="AH43" s="273">
        <v>112</v>
      </c>
    </row>
    <row r="44" spans="1:34" x14ac:dyDescent="0.25">
      <c r="A44" s="310" t="s">
        <v>65</v>
      </c>
      <c r="B44" s="308" t="s">
        <v>65</v>
      </c>
      <c r="C44" s="274"/>
      <c r="D44" s="274"/>
      <c r="E44" s="706">
        <f t="shared" ref="E44" si="36">SUM(E36:E43)</f>
        <v>8766.6869999999981</v>
      </c>
      <c r="F44" s="274"/>
      <c r="G44" s="567">
        <f t="shared" ref="G44:M44" si="37">SUM(G36:G43)</f>
        <v>9944.0600000000013</v>
      </c>
      <c r="H44" s="608">
        <f t="shared" si="37"/>
        <v>11321.090340000002</v>
      </c>
      <c r="I44" s="608">
        <f t="shared" si="37"/>
        <v>20715.054340000006</v>
      </c>
      <c r="J44" s="608">
        <f t="shared" si="37"/>
        <v>3945.1950000000011</v>
      </c>
      <c r="K44" s="608">
        <f t="shared" si="37"/>
        <v>24660.249340000002</v>
      </c>
      <c r="L44" s="608">
        <f t="shared" si="37"/>
        <v>3277.1290000000004</v>
      </c>
      <c r="M44" s="622">
        <f t="shared" si="37"/>
        <v>27937.37834000001</v>
      </c>
      <c r="N44" s="274"/>
      <c r="O44" s="567">
        <f t="shared" ref="O44:U44" si="38">SUM(O36:O43)</f>
        <v>9228</v>
      </c>
      <c r="P44" s="608">
        <f t="shared" si="38"/>
        <v>11058</v>
      </c>
      <c r="Q44" s="608">
        <f t="shared" si="38"/>
        <v>20285</v>
      </c>
      <c r="R44" s="608">
        <f t="shared" si="38"/>
        <v>4048</v>
      </c>
      <c r="S44" s="608">
        <f t="shared" si="38"/>
        <v>24334</v>
      </c>
      <c r="T44" s="608">
        <f t="shared" si="38"/>
        <v>3077</v>
      </c>
      <c r="U44" s="608">
        <f t="shared" si="38"/>
        <v>27411</v>
      </c>
      <c r="V44" s="483"/>
      <c r="W44" s="567">
        <v>10777.5</v>
      </c>
      <c r="X44" s="423">
        <f t="shared" si="0"/>
        <v>9952.5</v>
      </c>
      <c r="Y44" s="423">
        <v>20730</v>
      </c>
      <c r="Z44" s="406">
        <f t="shared" si="35"/>
        <v>2787</v>
      </c>
      <c r="AA44" s="423">
        <v>23517</v>
      </c>
      <c r="AB44" s="406">
        <f t="shared" si="35"/>
        <v>1745.5339999999997</v>
      </c>
      <c r="AC44" s="40">
        <v>25262.534</v>
      </c>
      <c r="AD44" s="483"/>
      <c r="AE44" s="84">
        <f t="shared" si="2"/>
        <v>2382</v>
      </c>
      <c r="AF44" s="423">
        <v>2382</v>
      </c>
      <c r="AG44" s="423">
        <f t="shared" si="3"/>
        <v>4278</v>
      </c>
      <c r="AH44" s="40">
        <v>6660</v>
      </c>
    </row>
    <row r="45" spans="1:34" x14ac:dyDescent="0.25">
      <c r="B45" s="308"/>
      <c r="C45" s="274"/>
      <c r="D45" s="274"/>
      <c r="E45" s="730"/>
      <c r="F45" s="274"/>
      <c r="G45" s="572"/>
      <c r="H45" s="423"/>
      <c r="I45" s="423"/>
      <c r="J45" s="423"/>
      <c r="K45" s="423"/>
      <c r="L45" s="406"/>
      <c r="M45" s="40"/>
      <c r="N45" s="274"/>
      <c r="O45" s="572"/>
      <c r="P45" s="423"/>
      <c r="Q45" s="423"/>
      <c r="R45" s="423"/>
      <c r="S45" s="423"/>
      <c r="T45" s="406"/>
      <c r="U45" s="40"/>
      <c r="V45" s="483"/>
      <c r="W45" s="572"/>
      <c r="X45" s="423"/>
      <c r="Y45" s="423"/>
      <c r="Z45" s="406"/>
      <c r="AA45" s="423"/>
      <c r="AB45" s="406"/>
      <c r="AC45" s="40"/>
      <c r="AD45" s="483"/>
      <c r="AE45" s="84"/>
      <c r="AF45" s="423"/>
      <c r="AG45" s="423"/>
      <c r="AH45" s="40"/>
    </row>
    <row r="46" spans="1:34" x14ac:dyDescent="0.25">
      <c r="B46" s="302"/>
      <c r="C46" s="274"/>
      <c r="D46" s="274"/>
      <c r="E46" s="730"/>
      <c r="F46" s="274"/>
      <c r="G46" s="572"/>
      <c r="H46" s="470"/>
      <c r="I46" s="470"/>
      <c r="J46" s="470"/>
      <c r="K46" s="470"/>
      <c r="L46" s="406"/>
      <c r="M46" s="472"/>
      <c r="N46" s="274"/>
      <c r="O46" s="572"/>
      <c r="P46" s="470"/>
      <c r="Q46" s="470"/>
      <c r="R46" s="470"/>
      <c r="S46" s="470"/>
      <c r="T46" s="406"/>
      <c r="U46" s="472"/>
      <c r="V46" s="483"/>
      <c r="W46" s="572"/>
      <c r="X46" s="470"/>
      <c r="Y46" s="470"/>
      <c r="Z46" s="406"/>
      <c r="AA46" s="470"/>
      <c r="AB46" s="406"/>
      <c r="AC46" s="472"/>
      <c r="AD46" s="483"/>
      <c r="AE46" s="471"/>
      <c r="AF46" s="470"/>
      <c r="AG46" s="470"/>
      <c r="AH46" s="472"/>
    </row>
    <row r="47" spans="1:34" x14ac:dyDescent="0.25">
      <c r="A47" s="310" t="s">
        <v>221</v>
      </c>
      <c r="B47" s="308" t="s">
        <v>25</v>
      </c>
      <c r="C47" s="274"/>
      <c r="D47" s="274"/>
      <c r="E47" s="730">
        <v>456679.47100000002</v>
      </c>
      <c r="F47" s="274"/>
      <c r="G47" s="572">
        <v>498726.489</v>
      </c>
      <c r="H47" s="429"/>
      <c r="I47" s="429">
        <v>496202.21799999999</v>
      </c>
      <c r="J47" s="429"/>
      <c r="K47" s="429">
        <v>488234.76199999999</v>
      </c>
      <c r="L47" s="406"/>
      <c r="M47" s="332">
        <v>482605.52</v>
      </c>
      <c r="N47" s="274"/>
      <c r="O47" s="572">
        <v>516305.69500000001</v>
      </c>
      <c r="P47" s="429"/>
      <c r="Q47" s="429">
        <v>515195</v>
      </c>
      <c r="R47" s="429"/>
      <c r="S47" s="429">
        <v>508973</v>
      </c>
      <c r="T47" s="406"/>
      <c r="U47" s="429">
        <v>502757</v>
      </c>
      <c r="V47" s="483"/>
      <c r="W47" s="572">
        <v>597330</v>
      </c>
      <c r="X47" s="429"/>
      <c r="Y47" s="429">
        <v>592564</v>
      </c>
      <c r="Z47" s="406"/>
      <c r="AA47" s="423">
        <v>590354.81700000004</v>
      </c>
      <c r="AB47" s="406"/>
      <c r="AC47" s="332">
        <v>521967.53700000001</v>
      </c>
      <c r="AD47" s="483"/>
      <c r="AE47" s="473"/>
      <c r="AF47" s="429">
        <v>597576</v>
      </c>
      <c r="AG47" s="429"/>
      <c r="AH47" s="332">
        <v>604376</v>
      </c>
    </row>
    <row r="48" spans="1:34" ht="17.25" x14ac:dyDescent="0.4">
      <c r="B48" s="308"/>
      <c r="C48" s="274"/>
      <c r="D48" s="274"/>
      <c r="E48" s="730"/>
      <c r="F48" s="274"/>
      <c r="G48" s="572"/>
      <c r="H48" s="428"/>
      <c r="I48" s="428"/>
      <c r="J48" s="428"/>
      <c r="K48" s="428"/>
      <c r="L48" s="406"/>
      <c r="M48" s="273"/>
      <c r="N48" s="274"/>
      <c r="O48" s="572"/>
      <c r="P48" s="428"/>
      <c r="Q48" s="428"/>
      <c r="R48" s="428"/>
      <c r="S48" s="428"/>
      <c r="T48" s="406"/>
      <c r="U48" s="428"/>
      <c r="V48" s="483"/>
      <c r="W48" s="572"/>
      <c r="X48" s="428"/>
      <c r="Y48" s="428"/>
      <c r="Z48" s="406"/>
      <c r="AA48" s="423"/>
      <c r="AB48" s="406"/>
      <c r="AC48" s="273"/>
      <c r="AD48" s="483"/>
      <c r="AE48" s="272"/>
      <c r="AF48" s="428"/>
      <c r="AG48" s="428"/>
      <c r="AH48" s="273"/>
    </row>
    <row r="49" spans="1:34" outlineLevel="1" x14ac:dyDescent="0.25">
      <c r="A49" s="310" t="s">
        <v>222</v>
      </c>
      <c r="B49" s="302" t="s">
        <v>26</v>
      </c>
      <c r="C49" s="274"/>
      <c r="D49" s="274"/>
      <c r="E49" s="745">
        <v>146447.26800000001</v>
      </c>
      <c r="F49" s="274"/>
      <c r="G49" s="573">
        <v>154113.64199999999</v>
      </c>
      <c r="H49" s="504"/>
      <c r="I49" s="504">
        <v>152932.40400000001</v>
      </c>
      <c r="J49" s="504"/>
      <c r="K49" s="504">
        <v>152652.929</v>
      </c>
      <c r="L49" s="408"/>
      <c r="M49" s="529">
        <v>151645.674</v>
      </c>
      <c r="N49" s="274"/>
      <c r="O49" s="573">
        <v>157953.837</v>
      </c>
      <c r="P49" s="504"/>
      <c r="Q49" s="504">
        <v>155546</v>
      </c>
      <c r="R49" s="504"/>
      <c r="S49" s="504">
        <v>158973</v>
      </c>
      <c r="T49" s="408"/>
      <c r="U49" s="504">
        <v>158772</v>
      </c>
      <c r="V49" s="483"/>
      <c r="W49" s="573">
        <v>160088</v>
      </c>
      <c r="X49" s="504"/>
      <c r="Y49" s="504">
        <v>161991</v>
      </c>
      <c r="Z49" s="408"/>
      <c r="AA49" s="423">
        <v>166341.55499999999</v>
      </c>
      <c r="AB49" s="408"/>
      <c r="AC49" s="529">
        <v>163817.86799999999</v>
      </c>
      <c r="AD49" s="483"/>
      <c r="AE49" s="503"/>
      <c r="AF49" s="504">
        <v>166306</v>
      </c>
      <c r="AG49" s="504"/>
      <c r="AH49" s="529">
        <v>167528</v>
      </c>
    </row>
    <row r="50" spans="1:34" ht="17.25" outlineLevel="1" x14ac:dyDescent="0.4">
      <c r="B50" s="302" t="s">
        <v>28</v>
      </c>
      <c r="C50" s="274"/>
      <c r="D50" s="274"/>
      <c r="E50" s="746">
        <v>46936.504999999976</v>
      </c>
      <c r="F50" s="274"/>
      <c r="G50" s="574">
        <v>52995.342000000004</v>
      </c>
      <c r="H50" s="504"/>
      <c r="I50" s="428">
        <v>50772.432000000001</v>
      </c>
      <c r="J50" s="504"/>
      <c r="K50" s="428">
        <v>47032.736999999994</v>
      </c>
      <c r="L50" s="409"/>
      <c r="M50" s="273">
        <v>46574.271000000008</v>
      </c>
      <c r="N50" s="274"/>
      <c r="O50" s="574">
        <v>59285.556000000011</v>
      </c>
      <c r="P50" s="504"/>
      <c r="Q50" s="428">
        <v>59943</v>
      </c>
      <c r="R50" s="504"/>
      <c r="S50" s="428">
        <v>53736</v>
      </c>
      <c r="T50" s="409"/>
      <c r="U50" s="428">
        <v>52479</v>
      </c>
      <c r="V50" s="483"/>
      <c r="W50" s="574">
        <v>70576</v>
      </c>
      <c r="X50" s="504"/>
      <c r="Y50" s="428">
        <v>62621</v>
      </c>
      <c r="Z50" s="409"/>
      <c r="AA50" s="428">
        <f>AA51-AA49</f>
        <v>60693.766999999993</v>
      </c>
      <c r="AB50" s="409"/>
      <c r="AC50" s="529">
        <v>58450.326000000001</v>
      </c>
      <c r="AD50" s="483"/>
      <c r="AE50" s="503"/>
      <c r="AF50" s="504">
        <v>55561</v>
      </c>
      <c r="AG50" s="504"/>
      <c r="AH50" s="529">
        <v>68247</v>
      </c>
    </row>
    <row r="51" spans="1:34" x14ac:dyDescent="0.25">
      <c r="A51" s="310" t="s">
        <v>223</v>
      </c>
      <c r="B51" s="308" t="s">
        <v>29</v>
      </c>
      <c r="C51" s="274"/>
      <c r="D51" s="274"/>
      <c r="E51" s="730">
        <v>193383.77299999999</v>
      </c>
      <c r="F51" s="274"/>
      <c r="G51" s="572">
        <v>207108.984</v>
      </c>
      <c r="H51" s="423"/>
      <c r="I51" s="423">
        <v>203704.83600000001</v>
      </c>
      <c r="J51" s="423"/>
      <c r="K51" s="423">
        <v>199685.666</v>
      </c>
      <c r="L51" s="406"/>
      <c r="M51" s="40">
        <v>198219.94500000001</v>
      </c>
      <c r="N51" s="274"/>
      <c r="O51" s="572">
        <v>217239.39300000001</v>
      </c>
      <c r="P51" s="423"/>
      <c r="Q51" s="423">
        <f>SUM(Q49:Q50)</f>
        <v>215489</v>
      </c>
      <c r="R51" s="423"/>
      <c r="S51" s="423">
        <f>SUM(S49:S50)</f>
        <v>212709</v>
      </c>
      <c r="T51" s="406"/>
      <c r="U51" s="423">
        <f>SUM(U49:U50)</f>
        <v>211251</v>
      </c>
      <c r="V51" s="483"/>
      <c r="W51" s="572">
        <v>230664</v>
      </c>
      <c r="X51" s="423"/>
      <c r="Y51" s="423">
        <v>224612</v>
      </c>
      <c r="Z51" s="406"/>
      <c r="AA51" s="423">
        <v>227035.32199999999</v>
      </c>
      <c r="AB51" s="406"/>
      <c r="AC51" s="40">
        <v>222268.19399999999</v>
      </c>
      <c r="AD51" s="483"/>
      <c r="AE51" s="84"/>
      <c r="AF51" s="423">
        <v>221867</v>
      </c>
      <c r="AG51" s="423"/>
      <c r="AH51" s="40">
        <v>235775</v>
      </c>
    </row>
    <row r="52" spans="1:34" ht="17.25" x14ac:dyDescent="0.4">
      <c r="B52" s="308"/>
      <c r="C52" s="274"/>
      <c r="D52" s="274"/>
      <c r="E52" s="730"/>
      <c r="F52" s="274"/>
      <c r="G52" s="572"/>
      <c r="H52" s="428"/>
      <c r="I52" s="428"/>
      <c r="J52" s="428"/>
      <c r="K52" s="428"/>
      <c r="L52" s="406"/>
      <c r="M52" s="273"/>
      <c r="N52" s="274"/>
      <c r="O52" s="572"/>
      <c r="P52" s="428"/>
      <c r="Q52" s="428"/>
      <c r="R52" s="428"/>
      <c r="S52" s="428"/>
      <c r="T52" s="406"/>
      <c r="U52" s="428"/>
      <c r="V52" s="483"/>
      <c r="W52" s="572"/>
      <c r="X52" s="428"/>
      <c r="Y52" s="428"/>
      <c r="Z52" s="406"/>
      <c r="AA52" s="423"/>
      <c r="AB52" s="406"/>
      <c r="AC52" s="273"/>
      <c r="AD52" s="483"/>
      <c r="AE52" s="272"/>
      <c r="AF52" s="428"/>
      <c r="AG52" s="428"/>
      <c r="AH52" s="273"/>
    </row>
    <row r="53" spans="1:34" x14ac:dyDescent="0.25">
      <c r="A53" s="310" t="s">
        <v>224</v>
      </c>
      <c r="B53" s="308" t="s">
        <v>36</v>
      </c>
      <c r="C53" s="274"/>
      <c r="D53" s="274"/>
      <c r="E53" s="730">
        <v>263295.69799999997</v>
      </c>
      <c r="F53" s="274"/>
      <c r="G53" s="572">
        <v>291617.505</v>
      </c>
      <c r="H53" s="423"/>
      <c r="I53" s="423">
        <v>292497.38199999998</v>
      </c>
      <c r="J53" s="423"/>
      <c r="K53" s="423">
        <v>288549.09600000002</v>
      </c>
      <c r="L53" s="406"/>
      <c r="M53" s="40">
        <v>284385.57500000001</v>
      </c>
      <c r="N53" s="274"/>
      <c r="O53" s="572">
        <v>299066.30200000003</v>
      </c>
      <c r="P53" s="423"/>
      <c r="Q53" s="423">
        <v>299706</v>
      </c>
      <c r="R53" s="423"/>
      <c r="S53" s="423">
        <v>296264</v>
      </c>
      <c r="T53" s="406"/>
      <c r="U53" s="423">
        <v>291506</v>
      </c>
      <c r="V53" s="483"/>
      <c r="W53" s="572">
        <v>366666</v>
      </c>
      <c r="X53" s="423"/>
      <c r="Y53" s="423">
        <v>367952</v>
      </c>
      <c r="Z53" s="406"/>
      <c r="AA53" s="423">
        <v>363319.495</v>
      </c>
      <c r="AB53" s="406"/>
      <c r="AC53" s="40">
        <v>299699.342</v>
      </c>
      <c r="AD53" s="483"/>
      <c r="AE53" s="84"/>
      <c r="AF53" s="423">
        <v>375709</v>
      </c>
      <c r="AG53" s="423"/>
      <c r="AH53" s="40">
        <v>368601</v>
      </c>
    </row>
    <row r="54" spans="1:34" x14ac:dyDescent="0.25">
      <c r="B54" s="302"/>
      <c r="C54" s="274"/>
      <c r="D54" s="274"/>
      <c r="E54" s="747"/>
      <c r="F54" s="274"/>
      <c r="G54" s="575"/>
      <c r="H54" s="423"/>
      <c r="I54" s="423"/>
      <c r="J54" s="423"/>
      <c r="K54" s="423"/>
      <c r="L54" s="406"/>
      <c r="M54" s="40"/>
      <c r="N54" s="274"/>
      <c r="O54" s="575"/>
      <c r="P54" s="423"/>
      <c r="Q54" s="423"/>
      <c r="R54" s="423"/>
      <c r="S54" s="423"/>
      <c r="T54" s="406"/>
      <c r="U54" s="423"/>
      <c r="V54" s="483"/>
      <c r="W54" s="575"/>
      <c r="X54" s="423"/>
      <c r="Y54" s="423"/>
      <c r="Z54" s="406"/>
      <c r="AA54" s="445"/>
      <c r="AB54" s="406"/>
      <c r="AC54" s="40"/>
      <c r="AD54" s="483"/>
      <c r="AE54" s="84"/>
      <c r="AF54" s="423"/>
      <c r="AG54" s="423"/>
      <c r="AH54" s="40"/>
    </row>
    <row r="55" spans="1:34" x14ac:dyDescent="0.25">
      <c r="A55" s="310" t="s">
        <v>231</v>
      </c>
      <c r="B55" s="308" t="s">
        <v>66</v>
      </c>
      <c r="C55" s="274"/>
      <c r="D55" s="274"/>
      <c r="E55" s="732">
        <v>63</v>
      </c>
      <c r="F55" s="274"/>
      <c r="G55" s="639">
        <v>39</v>
      </c>
      <c r="H55" s="653">
        <f>I55-G55</f>
        <v>27</v>
      </c>
      <c r="I55" s="653">
        <v>66</v>
      </c>
      <c r="J55" s="653">
        <f>K55-I55</f>
        <v>30</v>
      </c>
      <c r="K55" s="653">
        <v>96</v>
      </c>
      <c r="L55" s="653">
        <f>M55-K55</f>
        <v>44</v>
      </c>
      <c r="M55" s="657">
        <v>140</v>
      </c>
      <c r="N55" s="274"/>
      <c r="O55" s="575">
        <v>37</v>
      </c>
      <c r="P55" s="423">
        <v>19</v>
      </c>
      <c r="Q55" s="423">
        <v>56</v>
      </c>
      <c r="R55" s="423">
        <v>20</v>
      </c>
      <c r="S55" s="423">
        <v>76</v>
      </c>
      <c r="T55" s="423">
        <f>U55-S55</f>
        <v>64</v>
      </c>
      <c r="U55" s="423">
        <v>140</v>
      </c>
      <c r="V55" s="483"/>
      <c r="W55" s="575">
        <v>11</v>
      </c>
      <c r="X55" s="423">
        <f t="shared" ref="X55" si="39">Y55-W55</f>
        <v>145</v>
      </c>
      <c r="Y55" s="423">
        <v>156</v>
      </c>
      <c r="Z55" s="406">
        <f t="shared" ref="Z55:AB55" si="40">AA55-Y55</f>
        <v>39</v>
      </c>
      <c r="AA55" s="454">
        <v>195</v>
      </c>
      <c r="AB55" s="406">
        <f t="shared" si="40"/>
        <v>240</v>
      </c>
      <c r="AC55" s="40">
        <v>435</v>
      </c>
      <c r="AD55" s="483"/>
      <c r="AE55" s="84">
        <f t="shared" ref="AE55" si="41">AF55</f>
        <v>73</v>
      </c>
      <c r="AF55" s="423">
        <v>73</v>
      </c>
      <c r="AG55" s="423"/>
      <c r="AH55" s="40">
        <v>331</v>
      </c>
    </row>
    <row r="56" spans="1:34" x14ac:dyDescent="0.25">
      <c r="B56" s="308"/>
      <c r="C56" s="274"/>
      <c r="D56" s="274"/>
      <c r="E56" s="732"/>
      <c r="F56" s="274"/>
      <c r="G56" s="639"/>
      <c r="H56" s="654"/>
      <c r="I56" s="653"/>
      <c r="J56" s="654"/>
      <c r="K56" s="653"/>
      <c r="L56" s="653"/>
      <c r="M56" s="657"/>
      <c r="N56" s="274"/>
      <c r="O56" s="575"/>
      <c r="P56" s="429"/>
      <c r="Q56" s="423"/>
      <c r="R56" s="429"/>
      <c r="S56" s="423"/>
      <c r="T56" s="423"/>
      <c r="U56" s="423"/>
      <c r="V56" s="483"/>
      <c r="W56" s="575"/>
      <c r="X56" s="429"/>
      <c r="Y56" s="423"/>
      <c r="Z56" s="406"/>
      <c r="AA56" s="445"/>
      <c r="AB56" s="406"/>
      <c r="AC56" s="332"/>
      <c r="AD56" s="483"/>
      <c r="AE56" s="473"/>
      <c r="AF56" s="429"/>
      <c r="AG56" s="429"/>
      <c r="AH56" s="332"/>
    </row>
    <row r="57" spans="1:34" x14ac:dyDescent="0.25">
      <c r="A57" s="310" t="s">
        <v>232</v>
      </c>
      <c r="B57" s="419" t="s">
        <v>170</v>
      </c>
      <c r="C57" s="274"/>
      <c r="D57" s="274"/>
      <c r="E57" s="732">
        <v>0</v>
      </c>
      <c r="F57" s="274"/>
      <c r="G57" s="639">
        <v>0</v>
      </c>
      <c r="H57" s="626">
        <v>0</v>
      </c>
      <c r="I57" s="653">
        <v>0</v>
      </c>
      <c r="J57" s="626">
        <v>0</v>
      </c>
      <c r="K57" s="653">
        <v>0</v>
      </c>
      <c r="L57" s="653">
        <v>0</v>
      </c>
      <c r="M57" s="657">
        <v>0</v>
      </c>
      <c r="N57" s="274"/>
      <c r="O57" s="575">
        <v>0</v>
      </c>
      <c r="P57" s="426">
        <v>0</v>
      </c>
      <c r="Q57" s="423">
        <v>0</v>
      </c>
      <c r="R57" s="426">
        <v>0</v>
      </c>
      <c r="S57" s="423">
        <v>0</v>
      </c>
      <c r="T57" s="423">
        <v>0</v>
      </c>
      <c r="U57" s="423">
        <v>0</v>
      </c>
      <c r="V57" s="483"/>
      <c r="W57" s="575">
        <v>0</v>
      </c>
      <c r="X57" s="426"/>
      <c r="Y57" s="423">
        <v>0</v>
      </c>
      <c r="Z57" s="406">
        <f t="shared" ref="Z57:AB57" si="42">AA57-Y57</f>
        <v>0</v>
      </c>
      <c r="AA57" s="445">
        <v>0</v>
      </c>
      <c r="AB57" s="406">
        <f t="shared" si="42"/>
        <v>0</v>
      </c>
      <c r="AC57" s="335">
        <v>0</v>
      </c>
      <c r="AD57" s="483"/>
      <c r="AE57" s="473"/>
      <c r="AF57" s="426"/>
      <c r="AG57" s="426"/>
      <c r="AH57" s="335">
        <v>0</v>
      </c>
    </row>
    <row r="58" spans="1:34" x14ac:dyDescent="0.25">
      <c r="B58" s="308"/>
      <c r="C58" s="274"/>
      <c r="D58" s="274"/>
      <c r="E58" s="483"/>
      <c r="F58" s="274"/>
      <c r="G58" s="304"/>
      <c r="H58" s="423"/>
      <c r="I58" s="423"/>
      <c r="J58" s="274"/>
      <c r="K58" s="274"/>
      <c r="L58" s="274"/>
      <c r="M58" s="315"/>
      <c r="N58" s="274"/>
      <c r="O58" s="304"/>
      <c r="P58" s="423"/>
      <c r="Q58" s="423"/>
      <c r="R58" s="274"/>
      <c r="S58" s="274"/>
      <c r="T58" s="274"/>
      <c r="U58" s="315"/>
      <c r="V58" s="483"/>
      <c r="W58" s="304"/>
      <c r="X58" s="423"/>
      <c r="Y58" s="423"/>
      <c r="Z58" s="274"/>
      <c r="AA58" s="274"/>
      <c r="AB58" s="274"/>
      <c r="AC58" s="315"/>
      <c r="AD58" s="483"/>
      <c r="AE58" s="304"/>
      <c r="AF58" s="423"/>
      <c r="AG58" s="423"/>
      <c r="AH58" s="315"/>
    </row>
    <row r="59" spans="1:34" ht="17.25" x14ac:dyDescent="0.4">
      <c r="B59" s="309" t="s">
        <v>67</v>
      </c>
      <c r="C59" s="274"/>
      <c r="D59" s="274"/>
      <c r="E59" s="483"/>
      <c r="F59" s="274"/>
      <c r="G59" s="304"/>
      <c r="H59" s="427"/>
      <c r="I59" s="427"/>
      <c r="J59" s="274"/>
      <c r="K59" s="274"/>
      <c r="L59" s="274"/>
      <c r="M59" s="315"/>
      <c r="N59" s="274"/>
      <c r="O59" s="304"/>
      <c r="P59" s="427"/>
      <c r="Q59" s="427"/>
      <c r="R59" s="274"/>
      <c r="S59" s="274"/>
      <c r="T59" s="274"/>
      <c r="U59" s="315"/>
      <c r="V59" s="483"/>
      <c r="W59" s="304"/>
      <c r="X59" s="427"/>
      <c r="Y59" s="427"/>
      <c r="Z59" s="274"/>
      <c r="AA59" s="274"/>
      <c r="AB59" s="274"/>
      <c r="AC59" s="315"/>
      <c r="AD59" s="483"/>
      <c r="AE59" s="304"/>
      <c r="AF59" s="427"/>
      <c r="AG59" s="427"/>
      <c r="AH59" s="315"/>
    </row>
    <row r="60" spans="1:34" x14ac:dyDescent="0.25">
      <c r="B60" s="308" t="s">
        <v>68</v>
      </c>
      <c r="C60" s="274"/>
      <c r="D60" s="274"/>
      <c r="E60" s="709"/>
      <c r="F60" s="274"/>
      <c r="G60" s="322"/>
      <c r="H60" s="423"/>
      <c r="I60" s="423"/>
      <c r="J60" s="564"/>
      <c r="K60" s="274"/>
      <c r="L60" s="274"/>
      <c r="M60" s="649">
        <v>0.90700000000000003</v>
      </c>
      <c r="N60" s="274"/>
      <c r="O60" s="322"/>
      <c r="P60" s="423"/>
      <c r="Q60" s="423"/>
      <c r="R60" s="564"/>
      <c r="S60" s="274"/>
      <c r="T60" s="274"/>
      <c r="U60" s="555">
        <v>0.90700000000000003</v>
      </c>
      <c r="V60" s="483"/>
      <c r="W60" s="322"/>
      <c r="X60" s="423"/>
      <c r="Y60" s="423"/>
      <c r="Z60" s="564"/>
      <c r="AA60" s="274"/>
      <c r="AB60" s="274"/>
      <c r="AC60" s="555">
        <v>0.90700000000000003</v>
      </c>
      <c r="AD60" s="483"/>
      <c r="AE60" s="322"/>
      <c r="AF60" s="423"/>
      <c r="AG60" s="423"/>
      <c r="AH60" s="555">
        <v>0.90700000000000003</v>
      </c>
    </row>
    <row r="61" spans="1:34" ht="15.75" thickBot="1" x14ac:dyDescent="0.3">
      <c r="B61" s="334" t="s">
        <v>69</v>
      </c>
      <c r="C61" s="274"/>
      <c r="D61" s="274"/>
      <c r="E61" s="710"/>
      <c r="F61" s="274"/>
      <c r="G61" s="323"/>
      <c r="H61" s="545"/>
      <c r="I61" s="545"/>
      <c r="J61" s="565"/>
      <c r="K61" s="320"/>
      <c r="L61" s="320"/>
      <c r="M61" s="650">
        <v>0.84699999999999998</v>
      </c>
      <c r="N61" s="274"/>
      <c r="O61" s="323"/>
      <c r="P61" s="545"/>
      <c r="Q61" s="545"/>
      <c r="R61" s="565"/>
      <c r="S61" s="320"/>
      <c r="T61" s="320"/>
      <c r="U61" s="556">
        <v>0.84699999999999998</v>
      </c>
      <c r="V61" s="483"/>
      <c r="W61" s="323"/>
      <c r="X61" s="545"/>
      <c r="Y61" s="545"/>
      <c r="Z61" s="565"/>
      <c r="AA61" s="320"/>
      <c r="AB61" s="320"/>
      <c r="AC61" s="556">
        <v>0.83099999999999996</v>
      </c>
      <c r="AD61" s="483"/>
      <c r="AE61" s="323"/>
      <c r="AF61" s="545"/>
      <c r="AG61" s="545"/>
      <c r="AH61" s="556">
        <v>0.83699999999999997</v>
      </c>
    </row>
    <row r="63" spans="1:34" hidden="1" outlineLevel="1" x14ac:dyDescent="0.25">
      <c r="B63" s="275" t="s">
        <v>37</v>
      </c>
      <c r="E63" s="276">
        <f>E17-E18-E19</f>
        <v>0</v>
      </c>
      <c r="G63" s="276">
        <f>G17-G18-G19</f>
        <v>0</v>
      </c>
      <c r="H63" s="276">
        <f>H17-H18-H19</f>
        <v>0</v>
      </c>
      <c r="I63" s="276">
        <f>I17-I18-I19</f>
        <v>0</v>
      </c>
      <c r="J63" s="276">
        <f>J17-J18-J19</f>
        <v>0</v>
      </c>
      <c r="K63" s="276">
        <f t="shared" ref="K63:M63" si="43">K17-K18-K19</f>
        <v>0</v>
      </c>
      <c r="L63" s="276">
        <f t="shared" si="43"/>
        <v>0</v>
      </c>
      <c r="M63" s="276">
        <f t="shared" si="43"/>
        <v>0</v>
      </c>
      <c r="O63" s="276">
        <f>O17-O18-O19</f>
        <v>0</v>
      </c>
      <c r="P63" s="276">
        <f>P17-P18-P19</f>
        <v>0</v>
      </c>
      <c r="Q63" s="276">
        <f>Q17-Q18-Q19</f>
        <v>0</v>
      </c>
      <c r="R63" s="276">
        <f>R17-R18-R19</f>
        <v>0</v>
      </c>
      <c r="S63" s="276">
        <f t="shared" ref="S63:U63" si="44">S17-S18-S19</f>
        <v>0</v>
      </c>
      <c r="T63" s="276">
        <f t="shared" si="44"/>
        <v>0</v>
      </c>
      <c r="U63" s="276">
        <f t="shared" si="44"/>
        <v>0</v>
      </c>
      <c r="W63" s="276">
        <f>W17-W18-W19</f>
        <v>0</v>
      </c>
      <c r="X63" s="276">
        <f>X17-X18-X19</f>
        <v>0</v>
      </c>
      <c r="Y63" s="276">
        <f>Y17-Y18-Y19</f>
        <v>0</v>
      </c>
      <c r="Z63" s="276">
        <f>Z17-Z18-Z19</f>
        <v>0</v>
      </c>
      <c r="AA63" s="276">
        <f t="shared" ref="AA63:AC63" si="45">AA17-AA18-AA19</f>
        <v>0</v>
      </c>
      <c r="AB63" s="276">
        <f t="shared" si="45"/>
        <v>0</v>
      </c>
      <c r="AC63" s="276">
        <f t="shared" si="45"/>
        <v>0</v>
      </c>
      <c r="AE63" s="276">
        <f>AE17-AE18-AE19</f>
        <v>0</v>
      </c>
      <c r="AF63" s="276">
        <f>AF17-AF18-AF19</f>
        <v>0</v>
      </c>
      <c r="AG63" s="276">
        <f>AG17-AG18-AG19</f>
        <v>0</v>
      </c>
      <c r="AH63" s="276">
        <f>AH17-AH18-AH19</f>
        <v>0</v>
      </c>
    </row>
    <row r="64" spans="1:34" hidden="1" outlineLevel="1" x14ac:dyDescent="0.25">
      <c r="B64" s="277" t="s">
        <v>38</v>
      </c>
      <c r="E64" s="276">
        <f>E19-SUM(E20:E23)-E24</f>
        <v>0</v>
      </c>
      <c r="G64" s="276">
        <f>G19-SUM(G20:G22)-G24</f>
        <v>0</v>
      </c>
      <c r="H64" s="276">
        <f>H19-SUM(H20:H22)-H24</f>
        <v>0</v>
      </c>
      <c r="I64" s="276">
        <f>I19-SUM(I20:I22)-I24</f>
        <v>0</v>
      </c>
      <c r="J64" s="276">
        <f>J19-SUM(J20:J22)-J24</f>
        <v>0</v>
      </c>
      <c r="K64" s="276">
        <f t="shared" ref="K64" si="46">K19-SUM(K20:K22)-K24</f>
        <v>0</v>
      </c>
      <c r="L64" s="276">
        <f>L19-SUM(L20:L23)-L24</f>
        <v>0</v>
      </c>
      <c r="M64" s="276">
        <f>M19-SUM(M20:M23)-M24</f>
        <v>0</v>
      </c>
      <c r="O64" s="276">
        <f>O19-SUM(O20:O22)-O24</f>
        <v>0</v>
      </c>
      <c r="P64" s="276">
        <f>P19-SUM(P20:P22)-P24</f>
        <v>0</v>
      </c>
      <c r="Q64" s="276">
        <f>Q19-SUM(Q20:Q22)-Q24</f>
        <v>0</v>
      </c>
      <c r="R64" s="276">
        <f>R19-SUM(R20:R22)-R24</f>
        <v>0</v>
      </c>
      <c r="S64" s="276">
        <f t="shared" ref="S64" si="47">S19-SUM(S20:S22)-S24</f>
        <v>0</v>
      </c>
      <c r="T64" s="276">
        <f>T19-SUM(T20:T23)-T24</f>
        <v>0</v>
      </c>
      <c r="U64" s="276">
        <f>U19-SUM(U20:U23)-U24</f>
        <v>0</v>
      </c>
      <c r="W64" s="276">
        <f>W19-SUM(W20:W22)-W24</f>
        <v>0</v>
      </c>
      <c r="X64" s="276">
        <f>X19-SUM(X20:X22)-X24</f>
        <v>0</v>
      </c>
      <c r="Y64" s="276">
        <f>Y19-SUM(Y20:Y22)-Y24</f>
        <v>0</v>
      </c>
      <c r="Z64" s="276">
        <f>Z19-SUM(Z20:Z22)-Z24</f>
        <v>0</v>
      </c>
      <c r="AA64" s="276">
        <f t="shared" ref="AA64" si="48">AA19-SUM(AA20:AA22)-AA24</f>
        <v>0</v>
      </c>
      <c r="AB64" s="276">
        <f>AB19-SUM(AB20:AB23)-AB24</f>
        <v>0</v>
      </c>
      <c r="AC64" s="276">
        <f>AC19-SUM(AC20:AC23)-AC24</f>
        <v>0</v>
      </c>
      <c r="AE64" s="276">
        <f>AE19-SUM(AE20:AE22)-AE24</f>
        <v>0</v>
      </c>
      <c r="AF64" s="276">
        <f>AF19-SUM(AF20:AF22)-AF24</f>
        <v>0</v>
      </c>
      <c r="AG64" s="276">
        <f>AG19-SUM(AG20:AG22)-AG24</f>
        <v>0</v>
      </c>
      <c r="AH64" s="276">
        <f>AH19-SUM(AH20:AH22)-AH24</f>
        <v>0</v>
      </c>
    </row>
    <row r="65" spans="1:34" hidden="1" outlineLevel="1" x14ac:dyDescent="0.25">
      <c r="B65" s="277" t="s">
        <v>24</v>
      </c>
      <c r="E65" s="276">
        <f>E24-SUM(E25:E28)-E29</f>
        <v>0</v>
      </c>
      <c r="G65" s="276">
        <f>G24-SUM(G25:G28)-G29</f>
        <v>0</v>
      </c>
      <c r="H65" s="276">
        <f>H24-SUM(H25:H28)-H29</f>
        <v>0</v>
      </c>
      <c r="I65" s="276">
        <f>I24-SUM(I25:I28)-I29</f>
        <v>0</v>
      </c>
      <c r="J65" s="276">
        <f>J24-SUM(J25:J28)-J29</f>
        <v>0</v>
      </c>
      <c r="K65" s="276">
        <f t="shared" ref="K65:M65" si="49">K24-SUM(K25:K28)-K29</f>
        <v>0</v>
      </c>
      <c r="L65" s="276">
        <f t="shared" si="49"/>
        <v>0</v>
      </c>
      <c r="M65" s="276">
        <f t="shared" si="49"/>
        <v>0</v>
      </c>
      <c r="O65" s="276">
        <f>O24-SUM(O25:O28)-O29</f>
        <v>0</v>
      </c>
      <c r="P65" s="276">
        <f>P24-SUM(P25:P28)-P29</f>
        <v>0</v>
      </c>
      <c r="Q65" s="276">
        <f>Q24-SUM(Q25:Q28)-Q29</f>
        <v>0</v>
      </c>
      <c r="R65" s="276">
        <f>R24-SUM(R25:R28)-R29</f>
        <v>0</v>
      </c>
      <c r="S65" s="276">
        <f t="shared" ref="S65:U65" si="50">S24-SUM(S25:S28)-S29</f>
        <v>0</v>
      </c>
      <c r="T65" s="276">
        <f t="shared" si="50"/>
        <v>0</v>
      </c>
      <c r="U65" s="276">
        <f t="shared" si="50"/>
        <v>0</v>
      </c>
      <c r="W65" s="276">
        <f>W24-SUM(W25:W28)-W29</f>
        <v>0</v>
      </c>
      <c r="X65" s="276">
        <f>X24-SUM(X25:X28)-X29</f>
        <v>0</v>
      </c>
      <c r="Y65" s="276">
        <f>Y24-SUM(Y25:Y28)-Y29</f>
        <v>0</v>
      </c>
      <c r="Z65" s="276">
        <f>Z24-SUM(Z25:Z28)-Z29</f>
        <v>0</v>
      </c>
      <c r="AA65" s="276">
        <f t="shared" ref="AA65:AC65" si="51">AA24-SUM(AA25:AA28)-AA29</f>
        <v>0</v>
      </c>
      <c r="AB65" s="276">
        <f t="shared" si="51"/>
        <v>0</v>
      </c>
      <c r="AC65" s="276">
        <f t="shared" si="51"/>
        <v>0</v>
      </c>
      <c r="AE65" s="276">
        <f>AE24-SUM(AE25:AE28)-AE29</f>
        <v>0</v>
      </c>
      <c r="AF65" s="276">
        <f>AF24-SUM(AF25:AF28)-AF29</f>
        <v>0</v>
      </c>
      <c r="AG65" s="276">
        <f>AG24-SUM(AG25:AG28)-AG29</f>
        <v>0</v>
      </c>
      <c r="AH65" s="276">
        <f>AH24-SUM(AH25:AH28)-AH29</f>
        <v>0</v>
      </c>
    </row>
    <row r="66" spans="1:34" hidden="1" outlineLevel="1" x14ac:dyDescent="0.25">
      <c r="B66" s="277" t="s">
        <v>57</v>
      </c>
      <c r="E66" s="276">
        <f>SUM(E29:E35)-E36</f>
        <v>0</v>
      </c>
      <c r="G66" s="276">
        <f>SUM(G29:G35)-G36</f>
        <v>0</v>
      </c>
      <c r="H66" s="276">
        <f>SUM(H29:H35)-H36</f>
        <v>0</v>
      </c>
      <c r="I66" s="276">
        <f>SUM(I29:I35)-I36</f>
        <v>0</v>
      </c>
      <c r="J66" s="276">
        <f>SUM(J29:J35)-J36</f>
        <v>0</v>
      </c>
      <c r="K66" s="276">
        <f t="shared" ref="K66:M66" si="52">SUM(K29:K35)-K36</f>
        <v>0</v>
      </c>
      <c r="L66" s="276">
        <f t="shared" si="52"/>
        <v>0</v>
      </c>
      <c r="M66" s="276">
        <f t="shared" si="52"/>
        <v>0</v>
      </c>
      <c r="O66" s="276">
        <f>SUM(O29:O35)-O36</f>
        <v>0</v>
      </c>
      <c r="P66" s="276">
        <f>SUM(P29:P35)-P36</f>
        <v>0</v>
      </c>
      <c r="Q66" s="276">
        <f>SUM(Q29:Q35)-Q36</f>
        <v>0</v>
      </c>
      <c r="R66" s="276">
        <f>SUM(R29:R35)-R36</f>
        <v>0</v>
      </c>
      <c r="S66" s="276">
        <f t="shared" ref="S66:U66" si="53">SUM(S29:S35)-S36</f>
        <v>0</v>
      </c>
      <c r="T66" s="276">
        <f t="shared" si="53"/>
        <v>0</v>
      </c>
      <c r="U66" s="276">
        <f t="shared" si="53"/>
        <v>0</v>
      </c>
      <c r="W66" s="276">
        <f>SUM(W29:W35)-W36</f>
        <v>0</v>
      </c>
      <c r="X66" s="276">
        <f>SUM(X29:X35)-X36</f>
        <v>0</v>
      </c>
      <c r="Y66" s="276">
        <f>SUM(Y29:Y35)-Y36</f>
        <v>0</v>
      </c>
      <c r="Z66" s="276">
        <f>SUM(Z29:Z35)-Z36</f>
        <v>0</v>
      </c>
      <c r="AA66" s="276">
        <f t="shared" ref="AA66:AC66" si="54">SUM(AA29:AA35)-AA36</f>
        <v>0</v>
      </c>
      <c r="AB66" s="276">
        <f t="shared" si="54"/>
        <v>0.46600000000034925</v>
      </c>
      <c r="AC66" s="276">
        <f t="shared" si="54"/>
        <v>0.46600000000034925</v>
      </c>
      <c r="AE66" s="276">
        <f>SUM(AE29:AE35)-AE36</f>
        <v>0</v>
      </c>
      <c r="AF66" s="276">
        <f>SUM(AF29:AF35)-AF36</f>
        <v>0</v>
      </c>
      <c r="AG66" s="276">
        <f>SUM(AG29:AG35)-AG36</f>
        <v>0</v>
      </c>
      <c r="AH66" s="276">
        <f>SUM(AH29:AH35)-AH36</f>
        <v>0</v>
      </c>
    </row>
    <row r="67" spans="1:34" hidden="1" outlineLevel="1" x14ac:dyDescent="0.25">
      <c r="B67" s="277" t="s">
        <v>147</v>
      </c>
      <c r="E67" s="276">
        <f>SUM(E36:E43)-E44</f>
        <v>0</v>
      </c>
      <c r="G67" s="276">
        <f>SUM(G36:G43)-G44</f>
        <v>0</v>
      </c>
      <c r="H67" s="276">
        <f>SUM(H36:H43)-H44</f>
        <v>0</v>
      </c>
      <c r="I67" s="276">
        <f>SUM(I36:I43)-I44</f>
        <v>0</v>
      </c>
      <c r="J67" s="276">
        <f>SUM(J36:J43)-J44</f>
        <v>0</v>
      </c>
      <c r="K67" s="276">
        <f t="shared" ref="K67:M67" si="55">SUM(K36:K43)-K44</f>
        <v>0</v>
      </c>
      <c r="L67" s="276">
        <f t="shared" si="55"/>
        <v>0</v>
      </c>
      <c r="M67" s="276">
        <f t="shared" si="55"/>
        <v>0</v>
      </c>
      <c r="O67" s="276">
        <f>SUM(O36:O43)-O44</f>
        <v>0</v>
      </c>
      <c r="P67" s="276">
        <f>SUM(P36:P43)-P44</f>
        <v>0</v>
      </c>
      <c r="Q67" s="276">
        <f>SUM(Q36:Q43)-Q44</f>
        <v>0</v>
      </c>
      <c r="R67" s="276">
        <f>SUM(R36:R43)-R44</f>
        <v>0</v>
      </c>
      <c r="S67" s="276">
        <f t="shared" ref="S67:U67" si="56">SUM(S36:S43)-S44</f>
        <v>0</v>
      </c>
      <c r="T67" s="276">
        <f t="shared" si="56"/>
        <v>0</v>
      </c>
      <c r="U67" s="276">
        <f t="shared" si="56"/>
        <v>0</v>
      </c>
      <c r="W67" s="276">
        <f>SUM(W36:W43)-W44</f>
        <v>0</v>
      </c>
      <c r="X67" s="276">
        <f>SUM(X36:X43)-X44</f>
        <v>0</v>
      </c>
      <c r="Y67" s="276">
        <f>SUM(Y36:Y43)-Y44</f>
        <v>0</v>
      </c>
      <c r="Z67" s="276">
        <f>SUM(Z36:Z43)-Z44</f>
        <v>0</v>
      </c>
      <c r="AA67" s="276">
        <f t="shared" ref="AA67:AC67" si="57">SUM(AA36:AA43)-AA44</f>
        <v>0</v>
      </c>
      <c r="AB67" s="276">
        <f t="shared" si="57"/>
        <v>2.9558577807620168E-12</v>
      </c>
      <c r="AC67" s="276">
        <f t="shared" si="57"/>
        <v>0</v>
      </c>
      <c r="AE67" s="276">
        <f>SUM(AE36:AE43)-AE44</f>
        <v>0</v>
      </c>
      <c r="AF67" s="276">
        <f>SUM(AF36:AF43)-AF44</f>
        <v>0</v>
      </c>
      <c r="AG67" s="276">
        <f>SUM(AG36:AG43)-AG44</f>
        <v>0</v>
      </c>
      <c r="AH67" s="276">
        <f>SUM(AH36:AH43)-AH44</f>
        <v>0</v>
      </c>
    </row>
    <row r="68" spans="1:34" hidden="1" outlineLevel="1" x14ac:dyDescent="0.25">
      <c r="B68" s="277" t="s">
        <v>39</v>
      </c>
      <c r="E68" s="276">
        <f>SUM(E49:E50)-E51</f>
        <v>0</v>
      </c>
      <c r="G68" s="276">
        <f>SUM(G49:G50)-G51</f>
        <v>0</v>
      </c>
      <c r="H68" s="276">
        <f>SUM(H49:H50)-H51</f>
        <v>0</v>
      </c>
      <c r="I68" s="276">
        <f>SUM(I49:I50)-I51</f>
        <v>0</v>
      </c>
      <c r="J68" s="276">
        <f>SUM(J49:J50)-J51</f>
        <v>0</v>
      </c>
      <c r="K68" s="276">
        <f t="shared" ref="K68:M68" si="58">SUM(K49:K50)-K51</f>
        <v>0</v>
      </c>
      <c r="L68" s="276">
        <f t="shared" si="58"/>
        <v>0</v>
      </c>
      <c r="M68" s="276">
        <f t="shared" si="58"/>
        <v>0</v>
      </c>
      <c r="O68" s="276">
        <f>SUM(O49:O50)-O51</f>
        <v>0</v>
      </c>
      <c r="P68" s="276">
        <f>SUM(P49:P50)-P51</f>
        <v>0</v>
      </c>
      <c r="Q68" s="276">
        <f>SUM(Q49:Q50)-Q51</f>
        <v>0</v>
      </c>
      <c r="R68" s="276">
        <f>SUM(R49:R50)-R51</f>
        <v>0</v>
      </c>
      <c r="S68" s="276">
        <f t="shared" ref="S68:U68" si="59">SUM(S49:S50)-S51</f>
        <v>0</v>
      </c>
      <c r="T68" s="276">
        <f t="shared" si="59"/>
        <v>0</v>
      </c>
      <c r="U68" s="276">
        <f t="shared" si="59"/>
        <v>0</v>
      </c>
      <c r="W68" s="276">
        <f>SUM(W49:W50)-W51</f>
        <v>0</v>
      </c>
      <c r="X68" s="276">
        <f>SUM(X49:X50)-X51</f>
        <v>0</v>
      </c>
      <c r="Y68" s="276">
        <f>SUM(Y49:Y50)-Y51</f>
        <v>0</v>
      </c>
      <c r="Z68" s="276">
        <f>SUM(Z49:Z50)-Z51</f>
        <v>0</v>
      </c>
      <c r="AA68" s="276">
        <f t="shared" ref="AA68:AC68" si="60">SUM(AA49:AA50)-AA51</f>
        <v>0</v>
      </c>
      <c r="AB68" s="276">
        <f t="shared" si="60"/>
        <v>0</v>
      </c>
      <c r="AC68" s="276">
        <f t="shared" si="60"/>
        <v>0</v>
      </c>
      <c r="AE68" s="276">
        <f>SUM(AE49:AE50)-AE51</f>
        <v>0</v>
      </c>
      <c r="AF68" s="276">
        <f>SUM(AF49:AF50)-AF51</f>
        <v>0</v>
      </c>
      <c r="AG68" s="276">
        <f>SUM(AG49:AG50)-AG51</f>
        <v>0</v>
      </c>
      <c r="AH68" s="276">
        <f>SUM(AH49:AH50)-AH51</f>
        <v>0</v>
      </c>
    </row>
    <row r="69" spans="1:34" hidden="1" outlineLevel="1" x14ac:dyDescent="0.25">
      <c r="B69" s="277" t="s">
        <v>40</v>
      </c>
      <c r="E69" s="276">
        <f>E47-E51-E53</f>
        <v>0</v>
      </c>
      <c r="G69" s="276">
        <f>G47-G51-G53</f>
        <v>0</v>
      </c>
      <c r="H69" s="276">
        <f>H47-H51-H53</f>
        <v>0</v>
      </c>
      <c r="I69" s="276">
        <f>I47-I51-I53</f>
        <v>0</v>
      </c>
      <c r="J69" s="276">
        <f>J47-J51-J53</f>
        <v>0</v>
      </c>
      <c r="K69" s="276">
        <f t="shared" ref="K69:M69" si="61">K47-K51-K53</f>
        <v>0</v>
      </c>
      <c r="L69" s="276">
        <f t="shared" si="61"/>
        <v>0</v>
      </c>
      <c r="M69" s="276">
        <f t="shared" si="61"/>
        <v>0</v>
      </c>
      <c r="O69" s="276">
        <f>O47-O51-O53</f>
        <v>0</v>
      </c>
      <c r="P69" s="276">
        <f>P47-P51-P53</f>
        <v>0</v>
      </c>
      <c r="Q69" s="276">
        <f>Q47-Q51-Q53</f>
        <v>0</v>
      </c>
      <c r="R69" s="276">
        <f>R47-R51-R53</f>
        <v>0</v>
      </c>
      <c r="S69" s="276">
        <f t="shared" ref="S69:U69" si="62">S47-S51-S53</f>
        <v>0</v>
      </c>
      <c r="T69" s="276">
        <f t="shared" si="62"/>
        <v>0</v>
      </c>
      <c r="U69" s="276">
        <f t="shared" si="62"/>
        <v>0</v>
      </c>
      <c r="W69" s="276">
        <f>W47-W51-W53</f>
        <v>0</v>
      </c>
      <c r="X69" s="276">
        <f>X47-X51-X53</f>
        <v>0</v>
      </c>
      <c r="Y69" s="276">
        <f>Y47-Y51-Y53</f>
        <v>0</v>
      </c>
      <c r="Z69" s="276">
        <f>Z47-Z51-Z53</f>
        <v>0</v>
      </c>
      <c r="AA69" s="276">
        <f t="shared" ref="AA69:AC69" si="63">AA47-AA51-AA53</f>
        <v>0</v>
      </c>
      <c r="AB69" s="276">
        <f t="shared" si="63"/>
        <v>0</v>
      </c>
      <c r="AC69" s="276">
        <f t="shared" si="63"/>
        <v>9.9999998928979039E-4</v>
      </c>
      <c r="AE69" s="276">
        <f>AE47-AE51-AE53</f>
        <v>0</v>
      </c>
      <c r="AF69" s="276">
        <f>AF47-AF51-AF53</f>
        <v>0</v>
      </c>
      <c r="AG69" s="276">
        <f>AG47-AG51-AG53</f>
        <v>0</v>
      </c>
      <c r="AH69" s="276">
        <f>AH47-AH51-AH53</f>
        <v>0</v>
      </c>
    </row>
    <row r="70" spans="1:34" collapsed="1" x14ac:dyDescent="0.25">
      <c r="A70" s="310" t="s">
        <v>225</v>
      </c>
    </row>
    <row r="71" spans="1:34" x14ac:dyDescent="0.25">
      <c r="A71" s="310" t="s">
        <v>226</v>
      </c>
    </row>
    <row r="72" spans="1:34" x14ac:dyDescent="0.25">
      <c r="A72" s="310" t="s">
        <v>227</v>
      </c>
    </row>
    <row r="73" spans="1:34" x14ac:dyDescent="0.25">
      <c r="A73" s="310" t="s">
        <v>228</v>
      </c>
    </row>
  </sheetData>
  <mergeCells count="4">
    <mergeCell ref="AE14:AH14"/>
    <mergeCell ref="W14:AC14"/>
    <mergeCell ref="O14:U14"/>
    <mergeCell ref="G14:M14"/>
  </mergeCells>
  <pageMargins left="0.7" right="0.7" top="0.75" bottom="0.75" header="0.3" footer="0.3"/>
  <pageSetup orientation="portrait"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F548-FD37-40EA-931A-3451A616E91E}">
  <dimension ref="A1:U73"/>
  <sheetViews>
    <sheetView showGridLines="0" topLeftCell="B1" workbookViewId="0">
      <selection activeCell="B1" sqref="B1"/>
    </sheetView>
  </sheetViews>
  <sheetFormatPr defaultColWidth="9.140625" defaultRowHeight="15" outlineLevelRow="1" outlineLevelCol="1" x14ac:dyDescent="0.25"/>
  <cols>
    <col min="1" max="1" width="9.140625" style="310" hidden="1" customWidth="1" outlineLevel="1"/>
    <col min="2" max="2" width="30.5703125" style="310" customWidth="1" collapsed="1"/>
    <col min="3" max="3" width="12.5703125" style="310" customWidth="1"/>
    <col min="4" max="4" width="6" style="310" customWidth="1"/>
    <col min="5" max="5" width="9" style="310" bestFit="1" customWidth="1"/>
    <col min="6" max="6" width="6" style="310" customWidth="1"/>
    <col min="7" max="7" width="9" style="310" bestFit="1" customWidth="1"/>
    <col min="8" max="8" width="8" style="310" bestFit="1" customWidth="1"/>
    <col min="9" max="9" width="9" style="310" bestFit="1" customWidth="1"/>
    <col min="10" max="10" width="8" style="310" bestFit="1" customWidth="1"/>
    <col min="11" max="11" width="9" style="310" bestFit="1" customWidth="1"/>
    <col min="12" max="12" width="8" style="310" bestFit="1" customWidth="1"/>
    <col min="13" max="13" width="9" style="310" bestFit="1" customWidth="1"/>
    <col min="14" max="14" width="6" style="310" customWidth="1"/>
    <col min="15" max="15" width="9" style="310" bestFit="1" customWidth="1"/>
    <col min="16" max="16" width="8" style="310" bestFit="1" customWidth="1"/>
    <col min="17" max="17" width="9" style="310" bestFit="1" customWidth="1"/>
    <col min="18" max="18" width="8" style="310" bestFit="1" customWidth="1"/>
    <col min="19" max="19" width="9" style="310" bestFit="1" customWidth="1"/>
    <col min="20" max="20" width="8" style="310" bestFit="1" customWidth="1"/>
    <col min="21" max="21" width="9" style="310" bestFit="1" customWidth="1"/>
    <col min="22" max="22" width="12.28515625" style="310" customWidth="1"/>
    <col min="23" max="16384" width="9.140625" style="310"/>
  </cols>
  <sheetData>
    <row r="1" spans="1:21" x14ac:dyDescent="0.25">
      <c r="B1" s="300" t="s">
        <v>242</v>
      </c>
      <c r="C1" s="301">
        <v>377.3</v>
      </c>
      <c r="D1" s="305"/>
      <c r="E1" s="305"/>
      <c r="F1" s="305"/>
      <c r="G1" s="305"/>
      <c r="H1" s="305"/>
      <c r="I1" s="305"/>
      <c r="J1" s="305"/>
      <c r="K1" s="305"/>
      <c r="L1" s="305"/>
      <c r="M1" s="305"/>
      <c r="N1" s="305"/>
      <c r="O1" s="327"/>
      <c r="P1" s="327"/>
      <c r="Q1" s="327"/>
      <c r="R1" s="327"/>
      <c r="S1" s="563"/>
      <c r="T1" s="563"/>
      <c r="U1" s="563"/>
    </row>
    <row r="2" spans="1:21" x14ac:dyDescent="0.25">
      <c r="B2" s="302" t="s">
        <v>42</v>
      </c>
      <c r="C2" s="530">
        <v>233.3</v>
      </c>
      <c r="D2" s="305"/>
      <c r="E2" s="305"/>
      <c r="F2" s="305"/>
      <c r="G2" s="305"/>
      <c r="H2" s="305"/>
      <c r="I2" s="305"/>
      <c r="J2" s="305"/>
      <c r="K2" s="305"/>
      <c r="L2" s="305"/>
      <c r="M2" s="305"/>
      <c r="N2" s="305"/>
      <c r="O2" s="354"/>
      <c r="P2" s="354"/>
      <c r="Q2" s="354"/>
      <c r="R2" s="354"/>
      <c r="S2" s="305"/>
      <c r="T2" s="305"/>
      <c r="U2" s="305"/>
    </row>
    <row r="3" spans="1:21" x14ac:dyDescent="0.25">
      <c r="B3" s="302" t="s">
        <v>43</v>
      </c>
      <c r="C3" s="530">
        <v>41.7</v>
      </c>
      <c r="D3" s="305"/>
      <c r="E3" s="305"/>
      <c r="F3" s="305"/>
      <c r="G3" s="305"/>
      <c r="H3" s="305"/>
      <c r="I3" s="305"/>
      <c r="J3" s="305"/>
      <c r="K3" s="305"/>
      <c r="L3" s="305"/>
      <c r="M3" s="305"/>
      <c r="N3" s="305"/>
      <c r="O3" s="354"/>
      <c r="P3" s="354"/>
      <c r="Q3" s="354"/>
      <c r="R3" s="354"/>
      <c r="S3" s="305"/>
      <c r="T3" s="305"/>
      <c r="U3" s="305"/>
    </row>
    <row r="4" spans="1:21" ht="15.75" thickBot="1" x14ac:dyDescent="0.3">
      <c r="B4" s="336" t="s">
        <v>44</v>
      </c>
      <c r="C4" s="531">
        <f>C1-C2-C3</f>
        <v>102.3</v>
      </c>
      <c r="D4" s="305"/>
      <c r="E4" s="305"/>
      <c r="F4" s="305"/>
      <c r="G4" s="305"/>
      <c r="H4" s="305"/>
      <c r="I4" s="305"/>
      <c r="J4" s="305"/>
      <c r="K4" s="305"/>
      <c r="L4" s="305"/>
      <c r="M4" s="305"/>
      <c r="N4" s="305"/>
      <c r="O4" s="354"/>
      <c r="P4" s="354"/>
      <c r="Q4" s="354"/>
      <c r="R4" s="354"/>
      <c r="S4" s="305"/>
      <c r="T4" s="305"/>
      <c r="U4" s="305"/>
    </row>
    <row r="5" spans="1:21" x14ac:dyDescent="0.25">
      <c r="B5" s="304"/>
      <c r="C5" s="305"/>
      <c r="D5" s="305"/>
      <c r="E5" s="305"/>
      <c r="F5" s="305"/>
      <c r="G5" s="305"/>
      <c r="H5" s="305"/>
      <c r="I5" s="305"/>
      <c r="J5" s="305"/>
      <c r="K5" s="305"/>
      <c r="L5" s="305"/>
      <c r="M5" s="305"/>
      <c r="N5" s="305"/>
      <c r="O5" s="305"/>
      <c r="P5" s="305"/>
      <c r="Q5" s="305"/>
      <c r="R5" s="305"/>
      <c r="S5" s="305"/>
      <c r="T5" s="305"/>
      <c r="U5" s="305"/>
    </row>
    <row r="6" spans="1:21" x14ac:dyDescent="0.25">
      <c r="B6" s="304"/>
      <c r="C6" s="305"/>
      <c r="D6" s="305"/>
      <c r="E6" s="305"/>
      <c r="F6" s="305"/>
      <c r="G6" s="305"/>
      <c r="H6" s="305"/>
      <c r="I6" s="305"/>
      <c r="J6" s="305"/>
      <c r="K6" s="305"/>
      <c r="L6" s="305"/>
      <c r="M6" s="305"/>
      <c r="N6" s="305"/>
      <c r="O6" s="305"/>
      <c r="P6" s="305"/>
      <c r="Q6" s="305"/>
      <c r="R6" s="305"/>
      <c r="S6" s="305"/>
      <c r="T6" s="305"/>
      <c r="U6" s="305"/>
    </row>
    <row r="7" spans="1:21" x14ac:dyDescent="0.25">
      <c r="B7" s="304"/>
      <c r="C7" s="305"/>
      <c r="D7" s="305"/>
      <c r="E7" s="305"/>
      <c r="F7" s="305"/>
      <c r="G7" s="305"/>
      <c r="H7" s="305"/>
      <c r="I7" s="305"/>
      <c r="J7" s="305"/>
      <c r="K7" s="305"/>
      <c r="L7" s="305"/>
      <c r="M7" s="305"/>
      <c r="N7" s="305"/>
      <c r="O7" s="305"/>
      <c r="P7" s="305"/>
      <c r="Q7" s="305"/>
      <c r="R7" s="305"/>
      <c r="S7" s="305"/>
      <c r="T7" s="305"/>
      <c r="U7" s="305"/>
    </row>
    <row r="8" spans="1:21" x14ac:dyDescent="0.25">
      <c r="B8" s="304"/>
      <c r="C8" s="305"/>
      <c r="D8" s="305"/>
      <c r="E8" s="305"/>
      <c r="F8" s="305"/>
      <c r="G8" s="305"/>
      <c r="H8" s="305"/>
      <c r="I8" s="305"/>
      <c r="J8" s="305"/>
      <c r="K8" s="305"/>
      <c r="L8" s="305"/>
      <c r="M8" s="305"/>
      <c r="N8" s="305"/>
      <c r="O8" s="305"/>
      <c r="P8" s="305"/>
      <c r="Q8" s="305"/>
      <c r="R8" s="305"/>
      <c r="S8" s="305"/>
      <c r="T8" s="305"/>
      <c r="U8" s="305"/>
    </row>
    <row r="9" spans="1:21" x14ac:dyDescent="0.25">
      <c r="B9" s="304"/>
      <c r="C9" s="305"/>
      <c r="D9" s="305"/>
      <c r="E9" s="305"/>
      <c r="F9" s="305"/>
      <c r="G9" s="305"/>
      <c r="H9" s="305"/>
      <c r="I9" s="305"/>
      <c r="J9" s="305"/>
      <c r="K9" s="305"/>
      <c r="L9" s="305"/>
      <c r="M9" s="305"/>
      <c r="N9" s="305"/>
      <c r="O9" s="305"/>
      <c r="P9" s="305"/>
      <c r="Q9" s="305"/>
      <c r="R9" s="305"/>
      <c r="S9" s="305"/>
      <c r="T9" s="305"/>
      <c r="U9" s="305"/>
    </row>
    <row r="10" spans="1:21" x14ac:dyDescent="0.25">
      <c r="B10" s="304"/>
      <c r="C10" s="305"/>
      <c r="D10" s="305"/>
      <c r="E10" s="305"/>
      <c r="F10" s="305"/>
      <c r="G10" s="305"/>
      <c r="H10" s="305"/>
      <c r="I10" s="305"/>
      <c r="J10" s="305"/>
      <c r="K10" s="305"/>
      <c r="L10" s="305"/>
      <c r="M10" s="305"/>
      <c r="N10" s="305"/>
      <c r="O10" s="305"/>
      <c r="P10" s="305"/>
      <c r="Q10" s="305"/>
      <c r="R10" s="305"/>
      <c r="S10" s="305"/>
      <c r="T10" s="305"/>
      <c r="U10" s="305"/>
    </row>
    <row r="11" spans="1:21" x14ac:dyDescent="0.25">
      <c r="B11" s="304"/>
      <c r="C11" s="305"/>
      <c r="D11" s="305"/>
      <c r="E11" s="305"/>
      <c r="F11" s="305"/>
      <c r="G11" s="305"/>
      <c r="H11" s="305"/>
      <c r="I11" s="305"/>
      <c r="J11" s="305"/>
      <c r="K11" s="305"/>
      <c r="L11" s="305"/>
      <c r="M11" s="305"/>
      <c r="N11" s="305"/>
      <c r="O11" s="305"/>
      <c r="P11" s="305"/>
      <c r="Q11" s="305"/>
      <c r="R11" s="305"/>
      <c r="S11" s="305"/>
      <c r="T11" s="305"/>
      <c r="U11" s="305"/>
    </row>
    <row r="12" spans="1:21" x14ac:dyDescent="0.25">
      <c r="B12" s="304"/>
      <c r="C12" s="305"/>
      <c r="D12" s="305"/>
      <c r="E12" s="305"/>
      <c r="F12" s="305"/>
      <c r="G12" s="305"/>
      <c r="H12" s="305"/>
      <c r="I12" s="305"/>
      <c r="J12" s="305"/>
      <c r="K12" s="305"/>
      <c r="L12" s="305"/>
      <c r="M12" s="305"/>
      <c r="N12" s="305"/>
      <c r="O12" s="305"/>
      <c r="P12" s="305"/>
      <c r="Q12" s="305"/>
      <c r="R12" s="305"/>
      <c r="S12" s="305"/>
      <c r="T12" s="305"/>
      <c r="U12" s="305"/>
    </row>
    <row r="13" spans="1:21" ht="15.75" thickBot="1" x14ac:dyDescent="0.3">
      <c r="B13" s="304" t="str" cm="1">
        <f t="array" aca="1" ref="B13" ca="1">MID(CELL("filename",B1),FIND("]",CELL("filename",B1))+1,255)</f>
        <v>THP</v>
      </c>
      <c r="C13" s="306"/>
      <c r="D13" s="306"/>
      <c r="E13" s="306"/>
      <c r="F13" s="306"/>
      <c r="G13" s="306"/>
      <c r="H13" s="306"/>
      <c r="I13" s="306"/>
      <c r="J13" s="306"/>
      <c r="K13" s="306"/>
      <c r="L13" s="306"/>
      <c r="M13" s="306"/>
      <c r="N13" s="306"/>
      <c r="O13" s="306"/>
      <c r="P13" s="306"/>
      <c r="Q13" s="306"/>
      <c r="R13" s="306"/>
      <c r="S13" s="306"/>
      <c r="T13" s="306"/>
      <c r="U13" s="306"/>
    </row>
    <row r="14" spans="1:21" ht="15.75" thickBot="1" x14ac:dyDescent="0.3">
      <c r="B14" s="42"/>
      <c r="C14" s="274"/>
      <c r="D14" s="274"/>
      <c r="E14" s="737">
        <v>2026</v>
      </c>
      <c r="F14" s="274"/>
      <c r="G14" s="807">
        <v>2025</v>
      </c>
      <c r="H14" s="808"/>
      <c r="I14" s="808"/>
      <c r="J14" s="808"/>
      <c r="K14" s="808"/>
      <c r="L14" s="808"/>
      <c r="M14" s="809"/>
      <c r="N14" s="274"/>
      <c r="O14" s="807">
        <v>2024</v>
      </c>
      <c r="P14" s="808"/>
      <c r="Q14" s="808"/>
      <c r="R14" s="808"/>
      <c r="S14" s="808"/>
      <c r="T14" s="808"/>
      <c r="U14" s="809"/>
    </row>
    <row r="15" spans="1:21" x14ac:dyDescent="0.25">
      <c r="B15" s="307"/>
      <c r="C15" s="274"/>
      <c r="D15" s="274"/>
      <c r="E15" s="728" t="s">
        <v>3</v>
      </c>
      <c r="F15" s="274"/>
      <c r="G15" s="521" t="s">
        <v>3</v>
      </c>
      <c r="H15" s="97" t="s">
        <v>4</v>
      </c>
      <c r="I15" s="97" t="s">
        <v>5</v>
      </c>
      <c r="J15" s="97" t="s">
        <v>6</v>
      </c>
      <c r="K15" s="97" t="s">
        <v>7</v>
      </c>
      <c r="L15" s="97" t="s">
        <v>8</v>
      </c>
      <c r="M15" s="13" t="s">
        <v>9</v>
      </c>
      <c r="N15" s="274"/>
      <c r="O15" s="521" t="s">
        <v>3</v>
      </c>
      <c r="P15" s="97" t="s">
        <v>4</v>
      </c>
      <c r="Q15" s="97" t="s">
        <v>5</v>
      </c>
      <c r="R15" s="97" t="s">
        <v>6</v>
      </c>
      <c r="S15" s="97" t="s">
        <v>7</v>
      </c>
      <c r="T15" s="97" t="s">
        <v>8</v>
      </c>
      <c r="U15" s="13" t="s">
        <v>9</v>
      </c>
    </row>
    <row r="16" spans="1:21" x14ac:dyDescent="0.25">
      <c r="A16" s="42"/>
      <c r="B16" s="22"/>
      <c r="C16" s="405"/>
      <c r="D16" s="405"/>
      <c r="E16" s="577"/>
      <c r="F16" s="405"/>
      <c r="G16" s="24"/>
      <c r="H16" s="405"/>
      <c r="I16" s="405"/>
      <c r="J16" s="405"/>
      <c r="K16" s="405"/>
      <c r="L16" s="405"/>
      <c r="M16" s="23"/>
      <c r="N16" s="24"/>
      <c r="O16" s="24"/>
      <c r="P16" s="405"/>
      <c r="Q16" s="405"/>
      <c r="R16" s="405"/>
      <c r="S16" s="405"/>
      <c r="T16" s="405"/>
      <c r="U16" s="23"/>
    </row>
    <row r="17" spans="1:21" x14ac:dyDescent="0.25">
      <c r="A17" s="310" t="s">
        <v>10</v>
      </c>
      <c r="B17" s="308" t="s">
        <v>10</v>
      </c>
      <c r="C17" s="274"/>
      <c r="D17" s="274"/>
      <c r="E17" s="706">
        <v>45159.228000000003</v>
      </c>
      <c r="F17" s="274"/>
      <c r="G17" s="567">
        <v>36190.777999999998</v>
      </c>
      <c r="H17" s="423">
        <v>32797.747000000003</v>
      </c>
      <c r="I17" s="423">
        <v>68988.524999999994</v>
      </c>
      <c r="J17" s="423">
        <v>34727.464</v>
      </c>
      <c r="K17" s="423">
        <v>103715.989</v>
      </c>
      <c r="L17" s="423">
        <v>35972.697999999997</v>
      </c>
      <c r="M17" s="40">
        <v>139688.68700000001</v>
      </c>
      <c r="N17" s="274"/>
      <c r="O17" s="567">
        <v>20165</v>
      </c>
      <c r="P17" s="423">
        <v>24182</v>
      </c>
      <c r="Q17" s="423">
        <v>44347</v>
      </c>
      <c r="R17" s="423">
        <v>31545</v>
      </c>
      <c r="S17" s="423">
        <v>75892</v>
      </c>
      <c r="T17" s="423">
        <v>28697</v>
      </c>
      <c r="U17" s="40">
        <v>104589</v>
      </c>
    </row>
    <row r="18" spans="1:21" ht="17.25" x14ac:dyDescent="0.4">
      <c r="A18" s="310" t="s">
        <v>210</v>
      </c>
      <c r="B18" s="308" t="s">
        <v>11</v>
      </c>
      <c r="C18" s="274"/>
      <c r="D18" s="274"/>
      <c r="E18" s="739">
        <v>18331.848000000002</v>
      </c>
      <c r="F18" s="274"/>
      <c r="G18" s="568">
        <v>16160.228999999999</v>
      </c>
      <c r="H18" s="427">
        <v>14371.21</v>
      </c>
      <c r="I18" s="427">
        <v>30531.438999999998</v>
      </c>
      <c r="J18" s="427">
        <v>15529.598</v>
      </c>
      <c r="K18" s="427">
        <v>46061.036999999997</v>
      </c>
      <c r="L18" s="427">
        <v>16468.678</v>
      </c>
      <c r="M18" s="326">
        <v>62529.714999999997</v>
      </c>
      <c r="N18" s="274"/>
      <c r="O18" s="568">
        <v>11580</v>
      </c>
      <c r="P18" s="427">
        <v>12859</v>
      </c>
      <c r="Q18" s="427">
        <v>24439</v>
      </c>
      <c r="R18" s="427">
        <v>14648</v>
      </c>
      <c r="S18" s="427">
        <v>39087</v>
      </c>
      <c r="T18" s="427">
        <v>14248</v>
      </c>
      <c r="U18" s="326">
        <v>53335</v>
      </c>
    </row>
    <row r="19" spans="1:21" x14ac:dyDescent="0.25">
      <c r="A19" s="310" t="s">
        <v>12</v>
      </c>
      <c r="B19" s="308" t="s">
        <v>12</v>
      </c>
      <c r="C19" s="274"/>
      <c r="D19" s="274"/>
      <c r="E19" s="706">
        <f t="shared" ref="E19" si="0">E17-E18</f>
        <v>26827.38</v>
      </c>
      <c r="F19" s="274"/>
      <c r="G19" s="567">
        <f t="shared" ref="G19:M19" si="1">G17-G18</f>
        <v>20030.548999999999</v>
      </c>
      <c r="H19" s="608">
        <f t="shared" si="1"/>
        <v>18426.537000000004</v>
      </c>
      <c r="I19" s="608">
        <f t="shared" si="1"/>
        <v>38457.085999999996</v>
      </c>
      <c r="J19" s="608">
        <f t="shared" si="1"/>
        <v>19197.866000000002</v>
      </c>
      <c r="K19" s="608">
        <f t="shared" si="1"/>
        <v>57654.952000000005</v>
      </c>
      <c r="L19" s="608">
        <f t="shared" si="1"/>
        <v>19504.019999999997</v>
      </c>
      <c r="M19" s="622">
        <f t="shared" si="1"/>
        <v>77158.972000000009</v>
      </c>
      <c r="N19" s="274"/>
      <c r="O19" s="567">
        <f t="shared" ref="O19:U19" si="2">O17-O18</f>
        <v>8585</v>
      </c>
      <c r="P19" s="608">
        <f t="shared" si="2"/>
        <v>11323</v>
      </c>
      <c r="Q19" s="608">
        <f t="shared" si="2"/>
        <v>19908</v>
      </c>
      <c r="R19" s="608">
        <f t="shared" si="2"/>
        <v>16897</v>
      </c>
      <c r="S19" s="608">
        <f t="shared" si="2"/>
        <v>36805</v>
      </c>
      <c r="T19" s="608">
        <f t="shared" si="2"/>
        <v>14449</v>
      </c>
      <c r="U19" s="622">
        <f t="shared" si="2"/>
        <v>51254</v>
      </c>
    </row>
    <row r="20" spans="1:21" outlineLevel="1" x14ac:dyDescent="0.25">
      <c r="A20" s="310" t="s">
        <v>211</v>
      </c>
      <c r="B20" s="302" t="s">
        <v>13</v>
      </c>
      <c r="C20" s="274"/>
      <c r="D20" s="274"/>
      <c r="E20" s="740">
        <v>12994.002</v>
      </c>
      <c r="F20" s="274"/>
      <c r="G20" s="569">
        <v>10930.208999999999</v>
      </c>
      <c r="H20" s="424">
        <v>10455.975</v>
      </c>
      <c r="I20" s="424">
        <v>21386.184000000001</v>
      </c>
      <c r="J20" s="424">
        <v>12276.398000000001</v>
      </c>
      <c r="K20" s="424">
        <v>33662.582000000002</v>
      </c>
      <c r="L20" s="424">
        <v>11094.878000000001</v>
      </c>
      <c r="M20" s="86">
        <v>44757.46</v>
      </c>
      <c r="N20" s="274"/>
      <c r="O20" s="569">
        <v>5391</v>
      </c>
      <c r="P20" s="424">
        <v>9276</v>
      </c>
      <c r="Q20" s="424">
        <v>14667</v>
      </c>
      <c r="R20" s="424">
        <v>9814</v>
      </c>
      <c r="S20" s="424">
        <v>24481</v>
      </c>
      <c r="T20" s="424">
        <v>9711</v>
      </c>
      <c r="U20" s="86">
        <v>34192</v>
      </c>
    </row>
    <row r="21" spans="1:21" outlineLevel="1" x14ac:dyDescent="0.25">
      <c r="A21" s="310" t="s">
        <v>212</v>
      </c>
      <c r="B21" s="302" t="s">
        <v>14</v>
      </c>
      <c r="C21" s="274"/>
      <c r="D21" s="274"/>
      <c r="E21" s="740">
        <v>250</v>
      </c>
      <c r="F21" s="274"/>
      <c r="G21" s="569">
        <v>250</v>
      </c>
      <c r="H21" s="424">
        <v>249.999</v>
      </c>
      <c r="I21" s="424">
        <v>499.99900000000002</v>
      </c>
      <c r="J21" s="424">
        <v>250.001</v>
      </c>
      <c r="K21" s="424">
        <v>750</v>
      </c>
      <c r="L21" s="424">
        <v>250</v>
      </c>
      <c r="M21" s="86">
        <v>1000</v>
      </c>
      <c r="N21" s="274"/>
      <c r="O21" s="569">
        <v>0</v>
      </c>
      <c r="P21" s="424">
        <v>250</v>
      </c>
      <c r="Q21" s="424">
        <v>250</v>
      </c>
      <c r="R21" s="424">
        <v>250</v>
      </c>
      <c r="S21" s="424">
        <v>500</v>
      </c>
      <c r="T21" s="424">
        <v>250</v>
      </c>
      <c r="U21" s="86">
        <v>750</v>
      </c>
    </row>
    <row r="22" spans="1:21" outlineLevel="1" x14ac:dyDescent="0.25">
      <c r="A22" s="310" t="s">
        <v>213</v>
      </c>
      <c r="B22" s="302" t="s">
        <v>15</v>
      </c>
      <c r="C22" s="274"/>
      <c r="D22" s="274"/>
      <c r="E22" s="515">
        <v>4015.386</v>
      </c>
      <c r="F22" s="274"/>
      <c r="G22" s="503">
        <v>4015.386</v>
      </c>
      <c r="H22" s="504">
        <v>4015.386</v>
      </c>
      <c r="I22" s="504">
        <v>8030.7719999999999</v>
      </c>
      <c r="J22" s="504">
        <v>4015.3820000000001</v>
      </c>
      <c r="K22" s="504">
        <v>12046.154</v>
      </c>
      <c r="L22" s="504">
        <v>4015.386</v>
      </c>
      <c r="M22" s="529">
        <v>16061.54</v>
      </c>
      <c r="N22" s="274"/>
      <c r="O22" s="503">
        <v>2365</v>
      </c>
      <c r="P22" s="504">
        <v>4327</v>
      </c>
      <c r="Q22" s="504">
        <v>6692</v>
      </c>
      <c r="R22" s="504">
        <v>4015</v>
      </c>
      <c r="S22" s="504">
        <v>10707</v>
      </c>
      <c r="T22" s="504">
        <v>4015</v>
      </c>
      <c r="U22" s="529">
        <v>14722</v>
      </c>
    </row>
    <row r="23" spans="1:21" ht="17.25" outlineLevel="1" x14ac:dyDescent="0.4">
      <c r="A23" s="310" t="s">
        <v>234</v>
      </c>
      <c r="B23" s="302" t="s">
        <v>62</v>
      </c>
      <c r="C23" s="274"/>
      <c r="D23" s="274"/>
      <c r="E23" s="741">
        <v>0</v>
      </c>
      <c r="F23" s="274"/>
      <c r="G23" s="571">
        <v>0</v>
      </c>
      <c r="H23" s="428">
        <v>0</v>
      </c>
      <c r="I23" s="428">
        <v>0</v>
      </c>
      <c r="J23" s="428">
        <v>0</v>
      </c>
      <c r="K23" s="428">
        <v>0</v>
      </c>
      <c r="L23" s="428">
        <v>0</v>
      </c>
      <c r="M23" s="273">
        <v>0</v>
      </c>
      <c r="N23" s="274"/>
      <c r="O23" s="571">
        <v>3479</v>
      </c>
      <c r="P23" s="428">
        <v>0</v>
      </c>
      <c r="Q23" s="428">
        <v>3479</v>
      </c>
      <c r="R23" s="428">
        <v>0</v>
      </c>
      <c r="S23" s="428">
        <v>3479</v>
      </c>
      <c r="T23" s="428">
        <v>0</v>
      </c>
      <c r="U23" s="273">
        <v>3479</v>
      </c>
    </row>
    <row r="24" spans="1:21" x14ac:dyDescent="0.25">
      <c r="A24" s="310" t="s">
        <v>214</v>
      </c>
      <c r="B24" s="308" t="s">
        <v>17</v>
      </c>
      <c r="C24" s="274"/>
      <c r="D24" s="274"/>
      <c r="E24" s="706">
        <f t="shared" ref="E24" si="3">E19-SUM(E20:E23)</f>
        <v>9567.992000000002</v>
      </c>
      <c r="F24" s="274"/>
      <c r="G24" s="567">
        <f t="shared" ref="G24:M24" si="4">G19-SUM(G20:G23)</f>
        <v>4834.9539999999997</v>
      </c>
      <c r="H24" s="608">
        <f t="shared" si="4"/>
        <v>3705.1770000000033</v>
      </c>
      <c r="I24" s="608">
        <f t="shared" si="4"/>
        <v>8540.1309999999939</v>
      </c>
      <c r="J24" s="608">
        <f t="shared" si="4"/>
        <v>2656.0849999999991</v>
      </c>
      <c r="K24" s="608">
        <f t="shared" si="4"/>
        <v>11196.216</v>
      </c>
      <c r="L24" s="608">
        <f t="shared" si="4"/>
        <v>4143.7559999999958</v>
      </c>
      <c r="M24" s="622">
        <f t="shared" si="4"/>
        <v>15339.972000000009</v>
      </c>
      <c r="N24" s="274"/>
      <c r="O24" s="567">
        <f t="shared" ref="O24:U24" si="5">O19-SUM(O20:O23)</f>
        <v>-2650</v>
      </c>
      <c r="P24" s="608">
        <f t="shared" si="5"/>
        <v>-2530</v>
      </c>
      <c r="Q24" s="608">
        <f t="shared" si="5"/>
        <v>-5180</v>
      </c>
      <c r="R24" s="608">
        <f t="shared" si="5"/>
        <v>2818</v>
      </c>
      <c r="S24" s="608">
        <f t="shared" si="5"/>
        <v>-2362</v>
      </c>
      <c r="T24" s="608">
        <f t="shared" si="5"/>
        <v>473</v>
      </c>
      <c r="U24" s="622">
        <f t="shared" si="5"/>
        <v>-1889</v>
      </c>
    </row>
    <row r="25" spans="1:21" outlineLevel="1" x14ac:dyDescent="0.25">
      <c r="A25" s="310" t="s">
        <v>217</v>
      </c>
      <c r="B25" s="302" t="s">
        <v>18</v>
      </c>
      <c r="C25" s="274"/>
      <c r="D25" s="274"/>
      <c r="E25" s="740">
        <v>1.2909999999999968</v>
      </c>
      <c r="F25" s="274"/>
      <c r="G25" s="569">
        <v>61.078000000000003</v>
      </c>
      <c r="H25" s="424">
        <v>103.336</v>
      </c>
      <c r="I25" s="424">
        <v>164.41399999999999</v>
      </c>
      <c r="J25" s="424">
        <v>38.233000000000004</v>
      </c>
      <c r="K25" s="424">
        <v>202.64699999999999</v>
      </c>
      <c r="L25" s="424">
        <v>8.8560000000000016</v>
      </c>
      <c r="M25" s="86">
        <v>211.50299999999999</v>
      </c>
      <c r="N25" s="274"/>
      <c r="O25" s="569">
        <v>33</v>
      </c>
      <c r="P25" s="424">
        <v>64</v>
      </c>
      <c r="Q25" s="424">
        <v>98</v>
      </c>
      <c r="R25" s="424">
        <v>94</v>
      </c>
      <c r="S25" s="424">
        <v>192</v>
      </c>
      <c r="T25" s="424">
        <v>74</v>
      </c>
      <c r="U25" s="86">
        <v>266</v>
      </c>
    </row>
    <row r="26" spans="1:21" outlineLevel="1" x14ac:dyDescent="0.25">
      <c r="A26" s="310" t="s">
        <v>215</v>
      </c>
      <c r="B26" s="302" t="s">
        <v>19</v>
      </c>
      <c r="C26" s="274"/>
      <c r="D26" s="274"/>
      <c r="E26" s="740">
        <v>4.7799999999999994</v>
      </c>
      <c r="F26" s="274"/>
      <c r="G26" s="569">
        <v>-1.974</v>
      </c>
      <c r="H26" s="424">
        <v>-4.8390000000000004</v>
      </c>
      <c r="I26" s="424">
        <v>-6.8129999999999997</v>
      </c>
      <c r="J26" s="424">
        <v>-1.585</v>
      </c>
      <c r="K26" s="424">
        <v>-8.3979999999999997</v>
      </c>
      <c r="L26" s="424">
        <v>2.1550000000000002</v>
      </c>
      <c r="M26" s="86">
        <v>-6.2430000000000003</v>
      </c>
      <c r="N26" s="274"/>
      <c r="O26" s="569">
        <v>-22</v>
      </c>
      <c r="P26" s="424">
        <f t="shared" ref="P26:P28" si="6">Q26-O26</f>
        <v>-3</v>
      </c>
      <c r="Q26" s="424">
        <v>-25</v>
      </c>
      <c r="R26" s="424">
        <v>-3</v>
      </c>
      <c r="S26" s="424">
        <v>-28</v>
      </c>
      <c r="T26" s="424">
        <v>-24</v>
      </c>
      <c r="U26" s="86">
        <v>-52</v>
      </c>
    </row>
    <row r="27" spans="1:21" outlineLevel="1" x14ac:dyDescent="0.25">
      <c r="A27" s="310" t="s">
        <v>216</v>
      </c>
      <c r="B27" s="302" t="s">
        <v>20</v>
      </c>
      <c r="C27" s="274"/>
      <c r="D27" s="274"/>
      <c r="E27" s="740">
        <v>1913.4860000000001</v>
      </c>
      <c r="F27" s="274"/>
      <c r="G27" s="569">
        <v>2602.0219999999999</v>
      </c>
      <c r="H27" s="424">
        <v>2421.4789999999998</v>
      </c>
      <c r="I27" s="424">
        <v>5023.5010000000002</v>
      </c>
      <c r="J27" s="424">
        <v>2347.8020000000001</v>
      </c>
      <c r="K27" s="424">
        <v>7371.3029999999999</v>
      </c>
      <c r="L27" s="424">
        <v>2158.5259999999998</v>
      </c>
      <c r="M27" s="86">
        <v>9529.8289999999997</v>
      </c>
      <c r="N27" s="274"/>
      <c r="O27" s="569">
        <v>1996</v>
      </c>
      <c r="P27" s="424">
        <v>2925</v>
      </c>
      <c r="Q27" s="424">
        <v>4920</v>
      </c>
      <c r="R27" s="424">
        <v>2907</v>
      </c>
      <c r="S27" s="424">
        <v>7827</v>
      </c>
      <c r="T27" s="424">
        <v>2725</v>
      </c>
      <c r="U27" s="86">
        <v>10552</v>
      </c>
    </row>
    <row r="28" spans="1:21" ht="17.25" outlineLevel="1" x14ac:dyDescent="0.4">
      <c r="A28" s="310" t="s">
        <v>218</v>
      </c>
      <c r="B28" s="302" t="s">
        <v>21</v>
      </c>
      <c r="C28" s="274"/>
      <c r="D28" s="274"/>
      <c r="E28" s="741">
        <v>1820.181</v>
      </c>
      <c r="F28" s="274"/>
      <c r="G28" s="571">
        <v>419.375</v>
      </c>
      <c r="H28" s="428">
        <v>350.911</v>
      </c>
      <c r="I28" s="428">
        <v>770.28599999999994</v>
      </c>
      <c r="J28" s="428">
        <v>75.597999999999999</v>
      </c>
      <c r="K28" s="428">
        <v>845.88400000000001</v>
      </c>
      <c r="L28" s="428">
        <v>97.95</v>
      </c>
      <c r="M28" s="273">
        <v>943.83399999999995</v>
      </c>
      <c r="N28" s="274"/>
      <c r="O28" s="571">
        <v>-1167</v>
      </c>
      <c r="P28" s="428">
        <f t="shared" si="6"/>
        <v>-1402</v>
      </c>
      <c r="Q28" s="428">
        <v>-2569</v>
      </c>
      <c r="R28" s="428">
        <v>-20</v>
      </c>
      <c r="S28" s="428">
        <v>-2589</v>
      </c>
      <c r="T28" s="428">
        <v>-305</v>
      </c>
      <c r="U28" s="273">
        <v>-2894</v>
      </c>
    </row>
    <row r="29" spans="1:21" x14ac:dyDescent="0.25">
      <c r="A29" s="310" t="s">
        <v>219</v>
      </c>
      <c r="B29" s="308" t="s">
        <v>24</v>
      </c>
      <c r="C29" s="274"/>
      <c r="D29" s="274"/>
      <c r="E29" s="706">
        <f>E24-SUM(E25:E28)</f>
        <v>5828.2540000000017</v>
      </c>
      <c r="F29" s="274"/>
      <c r="G29" s="567">
        <f>G24-SUM(G25:G28)</f>
        <v>1754.453</v>
      </c>
      <c r="H29" s="608">
        <f t="shared" ref="H29:M29" si="7">H24-SUM(H25:H28)</f>
        <v>834.2900000000036</v>
      </c>
      <c r="I29" s="608">
        <f t="shared" si="7"/>
        <v>2588.742999999994</v>
      </c>
      <c r="J29" s="608">
        <f t="shared" si="7"/>
        <v>196.0369999999989</v>
      </c>
      <c r="K29" s="608">
        <f t="shared" si="7"/>
        <v>2784.7800000000007</v>
      </c>
      <c r="L29" s="608">
        <f t="shared" si="7"/>
        <v>1876.2689999999961</v>
      </c>
      <c r="M29" s="622">
        <f t="shared" si="7"/>
        <v>4661.0490000000082</v>
      </c>
      <c r="N29" s="274"/>
      <c r="O29" s="567">
        <f>O24-SUM(O25:O28)</f>
        <v>-3490</v>
      </c>
      <c r="P29" s="608">
        <f t="shared" ref="P29:Q29" si="8">P24-SUM(P25:P28)</f>
        <v>-4114</v>
      </c>
      <c r="Q29" s="608">
        <f t="shared" si="8"/>
        <v>-7604</v>
      </c>
      <c r="R29" s="608">
        <f t="shared" ref="R29:S29" si="9">R24-SUM(R25:R28)</f>
        <v>-160</v>
      </c>
      <c r="S29" s="608">
        <f t="shared" si="9"/>
        <v>-7764</v>
      </c>
      <c r="T29" s="608">
        <f t="shared" ref="T29:U29" si="10">T24-SUM(T25:T28)</f>
        <v>-1997</v>
      </c>
      <c r="U29" s="622">
        <f t="shared" si="10"/>
        <v>-9761</v>
      </c>
    </row>
    <row r="30" spans="1:21" outlineLevel="1" x14ac:dyDescent="0.25">
      <c r="B30" s="307" t="s">
        <v>54</v>
      </c>
      <c r="C30" s="274"/>
      <c r="D30" s="274"/>
      <c r="E30" s="740"/>
      <c r="F30" s="274"/>
      <c r="G30" s="569"/>
      <c r="H30" s="423"/>
      <c r="I30" s="423"/>
      <c r="J30" s="423"/>
      <c r="K30" s="423"/>
      <c r="L30" s="423"/>
      <c r="M30" s="40"/>
      <c r="N30" s="274"/>
      <c r="O30" s="569"/>
      <c r="P30" s="423"/>
      <c r="Q30" s="423"/>
      <c r="R30" s="423"/>
      <c r="S30" s="423"/>
      <c r="T30" s="423"/>
      <c r="U30" s="40"/>
    </row>
    <row r="31" spans="1:21" outlineLevel="1" x14ac:dyDescent="0.25">
      <c r="A31" s="310" t="s">
        <v>21</v>
      </c>
      <c r="B31" s="302" t="s">
        <v>21</v>
      </c>
      <c r="C31" s="274"/>
      <c r="D31" s="274"/>
      <c r="E31" s="740">
        <f>E28</f>
        <v>1820.181</v>
      </c>
      <c r="F31" s="274"/>
      <c r="G31" s="569">
        <f>G28</f>
        <v>419.375</v>
      </c>
      <c r="H31" s="609">
        <v>-1402</v>
      </c>
      <c r="I31" s="609">
        <f t="shared" ref="I31" si="11">I28</f>
        <v>770.28599999999994</v>
      </c>
      <c r="J31" s="609">
        <f>J28</f>
        <v>75.597999999999999</v>
      </c>
      <c r="K31" s="609">
        <f t="shared" ref="K31" si="12">K28</f>
        <v>845.88400000000001</v>
      </c>
      <c r="L31" s="609">
        <f>L28</f>
        <v>97.95</v>
      </c>
      <c r="M31" s="623">
        <f t="shared" ref="M31" si="13">M28</f>
        <v>943.83399999999995</v>
      </c>
      <c r="N31" s="274"/>
      <c r="O31" s="569">
        <f>O28</f>
        <v>-1167</v>
      </c>
      <c r="P31" s="609">
        <v>-1402</v>
      </c>
      <c r="Q31" s="609">
        <f t="shared" ref="Q31:S31" si="14">Q28</f>
        <v>-2569</v>
      </c>
      <c r="R31" s="609">
        <f>R28</f>
        <v>-20</v>
      </c>
      <c r="S31" s="609">
        <f t="shared" si="14"/>
        <v>-2589</v>
      </c>
      <c r="T31" s="609">
        <f>T28</f>
        <v>-305</v>
      </c>
      <c r="U31" s="623">
        <f t="shared" ref="U31" si="15">U28</f>
        <v>-2894</v>
      </c>
    </row>
    <row r="32" spans="1:21" outlineLevel="1" x14ac:dyDescent="0.25">
      <c r="A32" s="310" t="s">
        <v>195</v>
      </c>
      <c r="B32" s="302" t="s">
        <v>19</v>
      </c>
      <c r="C32" s="274"/>
      <c r="D32" s="274"/>
      <c r="E32" s="740">
        <f>E26</f>
        <v>4.7799999999999994</v>
      </c>
      <c r="F32" s="274"/>
      <c r="G32" s="569">
        <f>G26</f>
        <v>-1.974</v>
      </c>
      <c r="H32" s="609">
        <v>-3</v>
      </c>
      <c r="I32" s="609">
        <f t="shared" ref="I32" si="16">I26</f>
        <v>-6.8129999999999997</v>
      </c>
      <c r="J32" s="609">
        <f>J26</f>
        <v>-1.585</v>
      </c>
      <c r="K32" s="609">
        <f t="shared" ref="K32" si="17">K26</f>
        <v>-8.3979999999999997</v>
      </c>
      <c r="L32" s="609">
        <f>L26</f>
        <v>2.1550000000000002</v>
      </c>
      <c r="M32" s="623">
        <f t="shared" ref="M32:M33" si="18">M26</f>
        <v>-6.2430000000000003</v>
      </c>
      <c r="N32" s="274"/>
      <c r="O32" s="569">
        <f>O26</f>
        <v>-22</v>
      </c>
      <c r="P32" s="609">
        <v>-3</v>
      </c>
      <c r="Q32" s="609">
        <f t="shared" ref="Q32:S32" si="19">Q26</f>
        <v>-25</v>
      </c>
      <c r="R32" s="609">
        <f>R26</f>
        <v>-3</v>
      </c>
      <c r="S32" s="609">
        <f t="shared" si="19"/>
        <v>-28</v>
      </c>
      <c r="T32" s="609">
        <f>T26</f>
        <v>-24</v>
      </c>
      <c r="U32" s="623">
        <f t="shared" ref="U32" si="20">U26</f>
        <v>-52</v>
      </c>
    </row>
    <row r="33" spans="1:21" outlineLevel="1" x14ac:dyDescent="0.25">
      <c r="A33" s="310" t="s">
        <v>95</v>
      </c>
      <c r="B33" s="302" t="s">
        <v>20</v>
      </c>
      <c r="C33" s="274"/>
      <c r="D33" s="274"/>
      <c r="E33" s="740">
        <f>E27</f>
        <v>1913.4860000000001</v>
      </c>
      <c r="F33" s="274"/>
      <c r="G33" s="569">
        <f>G27</f>
        <v>2602.0219999999999</v>
      </c>
      <c r="H33" s="609">
        <v>2925</v>
      </c>
      <c r="I33" s="609">
        <f t="shared" ref="I33" si="21">I27</f>
        <v>5023.5010000000002</v>
      </c>
      <c r="J33" s="609">
        <f>J27</f>
        <v>2347.8020000000001</v>
      </c>
      <c r="K33" s="609">
        <f t="shared" ref="K33" si="22">K27</f>
        <v>7371.3029999999999</v>
      </c>
      <c r="L33" s="609">
        <f>L27</f>
        <v>2158.5259999999998</v>
      </c>
      <c r="M33" s="623">
        <f t="shared" si="18"/>
        <v>9529.8289999999997</v>
      </c>
      <c r="N33" s="274"/>
      <c r="O33" s="569">
        <f>O27</f>
        <v>1996</v>
      </c>
      <c r="P33" s="609">
        <v>2925</v>
      </c>
      <c r="Q33" s="609">
        <f t="shared" ref="Q33:S33" si="23">Q27</f>
        <v>4920</v>
      </c>
      <c r="R33" s="609">
        <f>R27</f>
        <v>2907</v>
      </c>
      <c r="S33" s="609">
        <f t="shared" si="23"/>
        <v>7827</v>
      </c>
      <c r="T33" s="609">
        <f>T27</f>
        <v>2725</v>
      </c>
      <c r="U33" s="623">
        <f t="shared" ref="U33" si="24">U27</f>
        <v>10552</v>
      </c>
    </row>
    <row r="34" spans="1:21" outlineLevel="1" x14ac:dyDescent="0.25">
      <c r="A34" s="310" t="s">
        <v>96</v>
      </c>
      <c r="B34" s="302" t="s">
        <v>55</v>
      </c>
      <c r="C34" s="274"/>
      <c r="D34" s="274"/>
      <c r="E34" s="742">
        <v>4096</v>
      </c>
      <c r="F34" s="274"/>
      <c r="G34" s="624">
        <v>4096</v>
      </c>
      <c r="H34" s="586">
        <v>4098</v>
      </c>
      <c r="I34" s="586">
        <v>8194</v>
      </c>
      <c r="J34" s="586">
        <v>4096</v>
      </c>
      <c r="K34" s="586">
        <v>12290</v>
      </c>
      <c r="L34" s="586">
        <v>4098</v>
      </c>
      <c r="M34" s="595">
        <v>16388</v>
      </c>
      <c r="N34" s="274"/>
      <c r="O34" s="569">
        <v>5087</v>
      </c>
      <c r="P34" s="424">
        <v>5431</v>
      </c>
      <c r="Q34" s="424">
        <v>10518</v>
      </c>
      <c r="R34" s="424">
        <v>4096</v>
      </c>
      <c r="S34" s="424">
        <v>14614</v>
      </c>
      <c r="T34" s="424">
        <f>U34-S34</f>
        <v>4097</v>
      </c>
      <c r="U34" s="86">
        <v>18711</v>
      </c>
    </row>
    <row r="35" spans="1:21" outlineLevel="1" x14ac:dyDescent="0.25">
      <c r="A35" s="310" t="s">
        <v>220</v>
      </c>
      <c r="B35" s="302" t="s">
        <v>56</v>
      </c>
      <c r="C35" s="274"/>
      <c r="D35" s="274"/>
      <c r="E35" s="743">
        <v>57</v>
      </c>
      <c r="F35" s="274"/>
      <c r="G35" s="628">
        <v>64</v>
      </c>
      <c r="H35" s="634">
        <v>61</v>
      </c>
      <c r="I35" s="634">
        <v>125</v>
      </c>
      <c r="J35" s="634">
        <v>60</v>
      </c>
      <c r="K35" s="634">
        <v>185</v>
      </c>
      <c r="L35" s="634">
        <v>58</v>
      </c>
      <c r="M35" s="635">
        <v>243</v>
      </c>
      <c r="N35" s="274"/>
      <c r="O35" s="570">
        <v>51</v>
      </c>
      <c r="P35" s="425">
        <v>76</v>
      </c>
      <c r="Q35" s="425">
        <v>127</v>
      </c>
      <c r="R35" s="425">
        <v>70</v>
      </c>
      <c r="S35" s="425">
        <v>197</v>
      </c>
      <c r="T35" s="425">
        <f>U35-S35</f>
        <v>66</v>
      </c>
      <c r="U35" s="193">
        <v>263</v>
      </c>
    </row>
    <row r="36" spans="1:21" x14ac:dyDescent="0.25">
      <c r="A36" s="310" t="s">
        <v>57</v>
      </c>
      <c r="B36" s="308" t="s">
        <v>57</v>
      </c>
      <c r="C36" s="274"/>
      <c r="D36" s="274"/>
      <c r="E36" s="705">
        <f>SUM(E29:E35)</f>
        <v>13719.701000000001</v>
      </c>
      <c r="F36" s="274"/>
      <c r="G36" s="567">
        <f>SUM(G29:G35)</f>
        <v>8933.8760000000002</v>
      </c>
      <c r="H36" s="608">
        <f t="shared" ref="H36:M36" si="25">SUM(H29:H35)</f>
        <v>6513.2900000000036</v>
      </c>
      <c r="I36" s="608">
        <f t="shared" si="25"/>
        <v>16694.716999999993</v>
      </c>
      <c r="J36" s="608">
        <f t="shared" si="25"/>
        <v>6773.851999999999</v>
      </c>
      <c r="K36" s="608">
        <f t="shared" si="25"/>
        <v>23468.569</v>
      </c>
      <c r="L36" s="608">
        <f t="shared" si="25"/>
        <v>8290.899999999996</v>
      </c>
      <c r="M36" s="622">
        <f t="shared" si="25"/>
        <v>31759.469000000008</v>
      </c>
      <c r="N36" s="274"/>
      <c r="O36" s="567">
        <f>SUM(O29:O35)</f>
        <v>2455</v>
      </c>
      <c r="P36" s="608">
        <f t="shared" ref="P36:Q36" si="26">SUM(P29:P35)</f>
        <v>2913</v>
      </c>
      <c r="Q36" s="608">
        <f t="shared" si="26"/>
        <v>5367</v>
      </c>
      <c r="R36" s="608">
        <f t="shared" ref="R36:S36" si="27">SUM(R29:R35)</f>
        <v>6890</v>
      </c>
      <c r="S36" s="608">
        <f t="shared" si="27"/>
        <v>12257</v>
      </c>
      <c r="T36" s="608">
        <f t="shared" ref="T36:U36" si="28">SUM(T29:T35)</f>
        <v>4562</v>
      </c>
      <c r="U36" s="622">
        <f t="shared" si="28"/>
        <v>16819</v>
      </c>
    </row>
    <row r="37" spans="1:21" outlineLevel="1" x14ac:dyDescent="0.25">
      <c r="A37" s="310" t="s">
        <v>233</v>
      </c>
      <c r="B37" s="302" t="s">
        <v>58</v>
      </c>
      <c r="C37" s="274"/>
      <c r="D37" s="274"/>
      <c r="E37" s="742"/>
      <c r="F37" s="274"/>
      <c r="G37" s="569"/>
      <c r="H37" s="424"/>
      <c r="I37" s="424"/>
      <c r="J37" s="424"/>
      <c r="K37" s="424"/>
      <c r="L37" s="424"/>
      <c r="M37" s="86"/>
      <c r="N37" s="274"/>
      <c r="O37" s="569"/>
      <c r="P37" s="424"/>
      <c r="Q37" s="424"/>
      <c r="R37" s="424"/>
      <c r="S37" s="424"/>
      <c r="T37" s="424"/>
      <c r="U37" s="86"/>
    </row>
    <row r="38" spans="1:21" outlineLevel="1" x14ac:dyDescent="0.25">
      <c r="A38" s="310" t="s">
        <v>59</v>
      </c>
      <c r="B38" s="302" t="s">
        <v>59</v>
      </c>
      <c r="C38" s="274"/>
      <c r="D38" s="274"/>
      <c r="E38" s="742">
        <v>280</v>
      </c>
      <c r="F38" s="274"/>
      <c r="G38" s="624">
        <v>25</v>
      </c>
      <c r="H38" s="542">
        <f>I38-G38</f>
        <v>419</v>
      </c>
      <c r="I38" s="586">
        <v>444</v>
      </c>
      <c r="J38" s="542">
        <f>K38-I38</f>
        <v>382</v>
      </c>
      <c r="K38" s="586">
        <v>826</v>
      </c>
      <c r="L38" s="542">
        <f>M38-K38</f>
        <v>430</v>
      </c>
      <c r="M38" s="595">
        <v>1256</v>
      </c>
      <c r="N38" s="274"/>
      <c r="O38" s="569">
        <v>145</v>
      </c>
      <c r="P38" s="424">
        <v>472</v>
      </c>
      <c r="Q38" s="424">
        <v>617</v>
      </c>
      <c r="R38" s="424">
        <v>540</v>
      </c>
      <c r="S38" s="424">
        <v>1157</v>
      </c>
      <c r="T38" s="424">
        <f>U38-S38</f>
        <v>517</v>
      </c>
      <c r="U38" s="86">
        <v>1674</v>
      </c>
    </row>
    <row r="39" spans="1:21" outlineLevel="1" x14ac:dyDescent="0.25">
      <c r="A39" s="310" t="s">
        <v>71</v>
      </c>
      <c r="B39" s="302" t="s">
        <v>60</v>
      </c>
      <c r="C39" s="274"/>
      <c r="D39" s="274"/>
      <c r="E39" s="742">
        <v>0</v>
      </c>
      <c r="F39" s="274"/>
      <c r="G39" s="624">
        <v>0</v>
      </c>
      <c r="H39" s="586">
        <v>0</v>
      </c>
      <c r="I39" s="586">
        <v>0</v>
      </c>
      <c r="J39" s="586">
        <v>0</v>
      </c>
      <c r="K39" s="586">
        <v>0</v>
      </c>
      <c r="L39" s="586">
        <v>0</v>
      </c>
      <c r="M39" s="595">
        <v>0</v>
      </c>
      <c r="N39" s="274"/>
      <c r="O39" s="569">
        <v>0</v>
      </c>
      <c r="P39" s="424">
        <v>0</v>
      </c>
      <c r="Q39" s="424">
        <v>0</v>
      </c>
      <c r="R39" s="424">
        <v>0</v>
      </c>
      <c r="S39" s="424">
        <v>0</v>
      </c>
      <c r="T39" s="424">
        <v>0</v>
      </c>
      <c r="U39" s="86">
        <v>0</v>
      </c>
    </row>
    <row r="40" spans="1:21" outlineLevel="1" x14ac:dyDescent="0.25">
      <c r="A40" s="310" t="s">
        <v>98</v>
      </c>
      <c r="B40" s="302" t="s">
        <v>62</v>
      </c>
      <c r="C40" s="274"/>
      <c r="D40" s="274"/>
      <c r="E40" s="742">
        <v>0</v>
      </c>
      <c r="F40" s="274"/>
      <c r="G40" s="624">
        <v>0</v>
      </c>
      <c r="H40" s="586">
        <v>0</v>
      </c>
      <c r="I40" s="586">
        <v>0</v>
      </c>
      <c r="J40" s="586">
        <v>0</v>
      </c>
      <c r="K40" s="586">
        <v>0</v>
      </c>
      <c r="L40" s="586">
        <v>0</v>
      </c>
      <c r="M40" s="595">
        <v>0</v>
      </c>
      <c r="N40" s="274"/>
      <c r="O40" s="569">
        <v>3479</v>
      </c>
      <c r="P40" s="424">
        <v>0</v>
      </c>
      <c r="Q40" s="424">
        <v>3479</v>
      </c>
      <c r="R40" s="424">
        <v>0</v>
      </c>
      <c r="S40" s="424">
        <v>3479</v>
      </c>
      <c r="T40" s="424">
        <v>0</v>
      </c>
      <c r="U40" s="86">
        <v>3479</v>
      </c>
    </row>
    <row r="41" spans="1:21" outlineLevel="1" x14ac:dyDescent="0.25">
      <c r="B41" s="302" t="s">
        <v>63</v>
      </c>
      <c r="C41" s="274"/>
      <c r="D41" s="274"/>
      <c r="E41" s="742">
        <v>0</v>
      </c>
      <c r="F41" s="274"/>
      <c r="G41" s="624">
        <v>0</v>
      </c>
      <c r="H41" s="586">
        <v>0</v>
      </c>
      <c r="I41" s="586">
        <v>0</v>
      </c>
      <c r="J41" s="586">
        <v>0</v>
      </c>
      <c r="K41" s="586">
        <v>0</v>
      </c>
      <c r="L41" s="586">
        <v>0</v>
      </c>
      <c r="M41" s="595">
        <v>0</v>
      </c>
      <c r="N41" s="274"/>
      <c r="O41" s="569">
        <v>0</v>
      </c>
      <c r="P41" s="424">
        <v>0</v>
      </c>
      <c r="Q41" s="424">
        <v>0</v>
      </c>
      <c r="R41" s="424">
        <v>0</v>
      </c>
      <c r="S41" s="424">
        <v>0</v>
      </c>
      <c r="T41" s="424">
        <v>0</v>
      </c>
      <c r="U41" s="86">
        <v>0</v>
      </c>
    </row>
    <row r="42" spans="1:21" outlineLevel="1" x14ac:dyDescent="0.25">
      <c r="A42" s="310" t="s">
        <v>157</v>
      </c>
      <c r="B42" s="302" t="s">
        <v>86</v>
      </c>
      <c r="C42" s="274"/>
      <c r="D42" s="274"/>
      <c r="E42" s="742">
        <v>0</v>
      </c>
      <c r="F42" s="274"/>
      <c r="G42" s="624">
        <v>875</v>
      </c>
      <c r="H42" s="586">
        <f>I42-G42</f>
        <v>0</v>
      </c>
      <c r="I42" s="586">
        <v>875</v>
      </c>
      <c r="J42" s="586">
        <f>K42-I42</f>
        <v>0</v>
      </c>
      <c r="K42" s="586">
        <v>875</v>
      </c>
      <c r="L42" s="586">
        <v>0</v>
      </c>
      <c r="M42" s="595">
        <v>875</v>
      </c>
      <c r="N42" s="274"/>
      <c r="O42" s="569">
        <v>0</v>
      </c>
      <c r="P42" s="424">
        <v>875</v>
      </c>
      <c r="Q42" s="424">
        <v>875</v>
      </c>
      <c r="R42" s="424">
        <v>875</v>
      </c>
      <c r="S42" s="424">
        <v>1750</v>
      </c>
      <c r="T42" s="424">
        <f>U42-S42</f>
        <v>875</v>
      </c>
      <c r="U42" s="86">
        <v>2625</v>
      </c>
    </row>
    <row r="43" spans="1:21" ht="17.25" outlineLevel="1" x14ac:dyDescent="0.4">
      <c r="A43" s="310" t="s">
        <v>163</v>
      </c>
      <c r="B43" s="302" t="s">
        <v>34</v>
      </c>
      <c r="C43" s="274"/>
      <c r="D43" s="274"/>
      <c r="E43" s="750">
        <v>650</v>
      </c>
      <c r="F43" s="274"/>
      <c r="G43" s="682">
        <v>-2.5489999999999999</v>
      </c>
      <c r="H43" s="683">
        <v>41.853999999999999</v>
      </c>
      <c r="I43" s="683">
        <v>39.305</v>
      </c>
      <c r="J43" s="683">
        <v>-21.484999999999999</v>
      </c>
      <c r="K43" s="683">
        <v>17.82</v>
      </c>
      <c r="L43" s="683">
        <f>-49.362+945</f>
        <v>895.63800000000003</v>
      </c>
      <c r="M43" s="684">
        <f>-31.542+945</f>
        <v>913.45799999999997</v>
      </c>
      <c r="N43" s="274"/>
      <c r="O43" s="571">
        <v>73</v>
      </c>
      <c r="P43" s="428">
        <v>-13</v>
      </c>
      <c r="Q43" s="428">
        <v>60</v>
      </c>
      <c r="R43" s="428">
        <v>25</v>
      </c>
      <c r="S43" s="428">
        <v>85</v>
      </c>
      <c r="T43" s="428">
        <f>U43-S43</f>
        <v>8</v>
      </c>
      <c r="U43" s="273">
        <v>93</v>
      </c>
    </row>
    <row r="44" spans="1:21" x14ac:dyDescent="0.25">
      <c r="A44" s="310" t="s">
        <v>65</v>
      </c>
      <c r="B44" s="308" t="s">
        <v>65</v>
      </c>
      <c r="C44" s="274"/>
      <c r="D44" s="274"/>
      <c r="E44" s="706">
        <f t="shared" ref="E44" si="29">SUM(E36:E43)</f>
        <v>14649.701000000001</v>
      </c>
      <c r="F44" s="274"/>
      <c r="G44" s="567">
        <f t="shared" ref="G44:M44" si="30">SUM(G36:G43)</f>
        <v>9831.3269999999993</v>
      </c>
      <c r="H44" s="608">
        <f t="shared" si="30"/>
        <v>6974.1440000000039</v>
      </c>
      <c r="I44" s="608">
        <f t="shared" si="30"/>
        <v>18053.021999999994</v>
      </c>
      <c r="J44" s="608">
        <f t="shared" si="30"/>
        <v>7134.3669999999993</v>
      </c>
      <c r="K44" s="608">
        <f t="shared" si="30"/>
        <v>25187.388999999999</v>
      </c>
      <c r="L44" s="608">
        <f t="shared" si="30"/>
        <v>9616.5379999999968</v>
      </c>
      <c r="M44" s="622">
        <f t="shared" si="30"/>
        <v>34803.927000000011</v>
      </c>
      <c r="N44" s="274"/>
      <c r="O44" s="567">
        <f t="shared" ref="O44:U44" si="31">SUM(O36:O43)</f>
        <v>6152</v>
      </c>
      <c r="P44" s="608">
        <f t="shared" si="31"/>
        <v>4247</v>
      </c>
      <c r="Q44" s="608">
        <f t="shared" si="31"/>
        <v>10398</v>
      </c>
      <c r="R44" s="608">
        <f t="shared" si="31"/>
        <v>8330</v>
      </c>
      <c r="S44" s="608">
        <f t="shared" si="31"/>
        <v>18728</v>
      </c>
      <c r="T44" s="608">
        <f t="shared" si="31"/>
        <v>5962</v>
      </c>
      <c r="U44" s="622">
        <f t="shared" si="31"/>
        <v>24690</v>
      </c>
    </row>
    <row r="45" spans="1:21" x14ac:dyDescent="0.25">
      <c r="B45" s="308"/>
      <c r="C45" s="274"/>
      <c r="D45" s="274"/>
      <c r="E45" s="730"/>
      <c r="F45" s="274"/>
      <c r="G45" s="572"/>
      <c r="H45" s="423"/>
      <c r="I45" s="423"/>
      <c r="J45" s="423"/>
      <c r="K45" s="423"/>
      <c r="L45" s="423"/>
      <c r="M45" s="40"/>
      <c r="N45" s="274"/>
      <c r="O45" s="572"/>
      <c r="P45" s="423"/>
      <c r="Q45" s="423"/>
      <c r="R45" s="423"/>
      <c r="S45" s="423"/>
      <c r="T45" s="423"/>
      <c r="U45" s="40"/>
    </row>
    <row r="46" spans="1:21" x14ac:dyDescent="0.25">
      <c r="B46" s="302"/>
      <c r="C46" s="274"/>
      <c r="D46" s="274"/>
      <c r="E46" s="730"/>
      <c r="F46" s="274"/>
      <c r="G46" s="572"/>
      <c r="H46" s="470"/>
      <c r="I46" s="470"/>
      <c r="J46" s="470"/>
      <c r="K46" s="470"/>
      <c r="L46" s="470"/>
      <c r="M46" s="472"/>
      <c r="N46" s="274"/>
      <c r="O46" s="572"/>
      <c r="P46" s="470"/>
      <c r="Q46" s="470"/>
      <c r="R46" s="470"/>
      <c r="S46" s="470"/>
      <c r="T46" s="470"/>
      <c r="U46" s="472"/>
    </row>
    <row r="47" spans="1:21" x14ac:dyDescent="0.25">
      <c r="A47" s="310" t="s">
        <v>221</v>
      </c>
      <c r="B47" s="308" t="s">
        <v>25</v>
      </c>
      <c r="C47" s="274"/>
      <c r="D47" s="274"/>
      <c r="E47" s="730">
        <v>394533.66600000003</v>
      </c>
      <c r="F47" s="274"/>
      <c r="G47" s="572">
        <v>402530.636</v>
      </c>
      <c r="H47" s="429"/>
      <c r="I47" s="429">
        <v>398443.02299999999</v>
      </c>
      <c r="J47" s="429"/>
      <c r="K47" s="429">
        <v>396811.07900000003</v>
      </c>
      <c r="L47" s="429"/>
      <c r="M47" s="332">
        <v>396514.41899999999</v>
      </c>
      <c r="N47" s="274"/>
      <c r="O47" s="572">
        <v>419252.62699999998</v>
      </c>
      <c r="P47" s="429"/>
      <c r="Q47" s="429">
        <v>415382</v>
      </c>
      <c r="R47" s="429"/>
      <c r="S47" s="429">
        <v>412877</v>
      </c>
      <c r="T47" s="429"/>
      <c r="U47" s="332">
        <v>409624</v>
      </c>
    </row>
    <row r="48" spans="1:21" ht="17.25" x14ac:dyDescent="0.4">
      <c r="B48" s="308"/>
      <c r="C48" s="274"/>
      <c r="D48" s="274"/>
      <c r="E48" s="730"/>
      <c r="F48" s="274"/>
      <c r="G48" s="572"/>
      <c r="H48" s="428"/>
      <c r="I48" s="428"/>
      <c r="J48" s="428"/>
      <c r="K48" s="428"/>
      <c r="L48" s="406"/>
      <c r="M48" s="273"/>
      <c r="N48" s="274"/>
      <c r="O48" s="572"/>
      <c r="P48" s="428"/>
      <c r="Q48" s="428"/>
      <c r="R48" s="428"/>
      <c r="S48" s="428"/>
      <c r="T48" s="406"/>
      <c r="U48" s="273"/>
    </row>
    <row r="49" spans="1:21" outlineLevel="1" x14ac:dyDescent="0.25">
      <c r="A49" s="310" t="s">
        <v>222</v>
      </c>
      <c r="B49" s="302" t="s">
        <v>26</v>
      </c>
      <c r="C49" s="274"/>
      <c r="D49" s="274"/>
      <c r="E49" s="745">
        <v>75711.008000000016</v>
      </c>
      <c r="F49" s="274"/>
      <c r="G49" s="573">
        <v>94958.982000000018</v>
      </c>
      <c r="H49" s="504"/>
      <c r="I49" s="504">
        <v>91313.424000000014</v>
      </c>
      <c r="J49" s="504"/>
      <c r="K49" s="504">
        <v>87351.061000000016</v>
      </c>
      <c r="L49" s="408"/>
      <c r="M49" s="529">
        <v>81279.325000000012</v>
      </c>
      <c r="N49" s="274"/>
      <c r="O49" s="573">
        <v>109554.29600000002</v>
      </c>
      <c r="P49" s="504"/>
      <c r="Q49" s="504">
        <v>106526</v>
      </c>
      <c r="R49" s="504"/>
      <c r="S49" s="504">
        <v>102988</v>
      </c>
      <c r="T49" s="408"/>
      <c r="U49" s="529">
        <v>102010</v>
      </c>
    </row>
    <row r="50" spans="1:21" ht="17.25" outlineLevel="1" x14ac:dyDescent="0.4">
      <c r="B50" s="302" t="s">
        <v>28</v>
      </c>
      <c r="C50" s="274"/>
      <c r="D50" s="274"/>
      <c r="E50" s="746">
        <v>40295.732000000004</v>
      </c>
      <c r="F50" s="274"/>
      <c r="G50" s="574">
        <v>39289.63499999998</v>
      </c>
      <c r="H50" s="504"/>
      <c r="I50" s="428">
        <v>37594.251000000004</v>
      </c>
      <c r="J50" s="504"/>
      <c r="K50" s="428">
        <v>39347.160000000003</v>
      </c>
      <c r="L50" s="409"/>
      <c r="M50" s="273">
        <v>42816.014999999999</v>
      </c>
      <c r="N50" s="274"/>
      <c r="O50" s="574">
        <v>38043.028999999995</v>
      </c>
      <c r="P50" s="504"/>
      <c r="Q50" s="428">
        <v>40842</v>
      </c>
      <c r="R50" s="504"/>
      <c r="S50" s="428">
        <v>41496</v>
      </c>
      <c r="T50" s="409"/>
      <c r="U50" s="273">
        <v>40701</v>
      </c>
    </row>
    <row r="51" spans="1:21" x14ac:dyDescent="0.25">
      <c r="A51" s="310" t="s">
        <v>223</v>
      </c>
      <c r="B51" s="308" t="s">
        <v>29</v>
      </c>
      <c r="C51" s="274"/>
      <c r="D51" s="274"/>
      <c r="E51" s="730">
        <v>116006.74000000002</v>
      </c>
      <c r="F51" s="274"/>
      <c r="G51" s="572">
        <v>134248.617</v>
      </c>
      <c r="H51" s="423"/>
      <c r="I51" s="423">
        <v>128907.67500000002</v>
      </c>
      <c r="J51" s="423"/>
      <c r="K51" s="423">
        <v>126698.22100000002</v>
      </c>
      <c r="L51" s="406"/>
      <c r="M51" s="40">
        <v>124095.34000000001</v>
      </c>
      <c r="N51" s="274"/>
      <c r="O51" s="572">
        <v>147597.32500000001</v>
      </c>
      <c r="P51" s="423"/>
      <c r="Q51" s="423">
        <f>SUM(Q49:Q50)</f>
        <v>147368</v>
      </c>
      <c r="R51" s="423"/>
      <c r="S51" s="423">
        <f>SUM(S49:S50)</f>
        <v>144484</v>
      </c>
      <c r="T51" s="406"/>
      <c r="U51" s="40">
        <f>SUM(U49:U50)</f>
        <v>142711</v>
      </c>
    </row>
    <row r="52" spans="1:21" ht="17.25" x14ac:dyDescent="0.4">
      <c r="B52" s="308"/>
      <c r="C52" s="274"/>
      <c r="D52" s="274"/>
      <c r="E52" s="730"/>
      <c r="F52" s="274"/>
      <c r="G52" s="572"/>
      <c r="H52" s="428"/>
      <c r="I52" s="428"/>
      <c r="J52" s="428"/>
      <c r="K52" s="428"/>
      <c r="L52" s="406"/>
      <c r="M52" s="273"/>
      <c r="N52" s="274"/>
      <c r="O52" s="572"/>
      <c r="P52" s="428"/>
      <c r="Q52" s="428"/>
      <c r="R52" s="428"/>
      <c r="S52" s="428"/>
      <c r="T52" s="406"/>
      <c r="U52" s="273"/>
    </row>
    <row r="53" spans="1:21" x14ac:dyDescent="0.25">
      <c r="A53" s="310" t="s">
        <v>224</v>
      </c>
      <c r="B53" s="308" t="s">
        <v>36</v>
      </c>
      <c r="C53" s="274"/>
      <c r="D53" s="274"/>
      <c r="E53" s="730">
        <v>278526.92599999998</v>
      </c>
      <c r="F53" s="274"/>
      <c r="G53" s="572">
        <v>268282.01899999997</v>
      </c>
      <c r="H53" s="423"/>
      <c r="I53" s="423">
        <v>269535.348</v>
      </c>
      <c r="J53" s="423"/>
      <c r="K53" s="423">
        <v>270112.85800000001</v>
      </c>
      <c r="L53" s="406"/>
      <c r="M53" s="40">
        <v>272419.07900000003</v>
      </c>
      <c r="N53" s="274"/>
      <c r="O53" s="572">
        <v>271655.30200000003</v>
      </c>
      <c r="P53" s="423"/>
      <c r="Q53" s="423">
        <v>268014</v>
      </c>
      <c r="R53" s="423"/>
      <c r="S53" s="423">
        <v>268393</v>
      </c>
      <c r="T53" s="406"/>
      <c r="U53" s="40">
        <v>266913</v>
      </c>
    </row>
    <row r="54" spans="1:21" x14ac:dyDescent="0.25">
      <c r="B54" s="302"/>
      <c r="C54" s="274"/>
      <c r="D54" s="274"/>
      <c r="E54" s="732"/>
      <c r="F54" s="274"/>
      <c r="G54" s="575"/>
      <c r="H54" s="423"/>
      <c r="I54" s="423"/>
      <c r="J54" s="423"/>
      <c r="K54" s="423"/>
      <c r="L54" s="406"/>
      <c r="M54" s="40"/>
      <c r="N54" s="274"/>
      <c r="O54" s="575"/>
      <c r="P54" s="423"/>
      <c r="Q54" s="423"/>
      <c r="R54" s="423"/>
      <c r="S54" s="423"/>
      <c r="T54" s="406"/>
      <c r="U54" s="40"/>
    </row>
    <row r="55" spans="1:21" x14ac:dyDescent="0.25">
      <c r="A55" s="310" t="s">
        <v>231</v>
      </c>
      <c r="B55" s="308" t="s">
        <v>66</v>
      </c>
      <c r="C55" s="274"/>
      <c r="D55" s="274"/>
      <c r="E55" s="732">
        <v>0</v>
      </c>
      <c r="F55" s="274"/>
      <c r="G55" s="639">
        <v>0</v>
      </c>
      <c r="H55" s="653">
        <v>0</v>
      </c>
      <c r="I55" s="653">
        <v>0</v>
      </c>
      <c r="J55" s="653">
        <v>0</v>
      </c>
      <c r="K55" s="653">
        <v>0</v>
      </c>
      <c r="L55" s="532"/>
      <c r="M55" s="657">
        <v>0</v>
      </c>
      <c r="N55" s="274"/>
      <c r="O55" s="575">
        <v>0</v>
      </c>
      <c r="P55" s="423">
        <v>0</v>
      </c>
      <c r="Q55" s="423">
        <v>0</v>
      </c>
      <c r="R55" s="423">
        <v>0</v>
      </c>
      <c r="S55" s="423">
        <v>0</v>
      </c>
      <c r="T55" s="406"/>
      <c r="U55" s="40">
        <v>0</v>
      </c>
    </row>
    <row r="56" spans="1:21" x14ac:dyDescent="0.25">
      <c r="B56" s="308"/>
      <c r="C56" s="274"/>
      <c r="D56" s="274"/>
      <c r="E56" s="732"/>
      <c r="F56" s="274"/>
      <c r="G56" s="639"/>
      <c r="H56" s="654"/>
      <c r="I56" s="653"/>
      <c r="J56" s="654"/>
      <c r="K56" s="653"/>
      <c r="L56" s="532"/>
      <c r="M56" s="657"/>
      <c r="N56" s="274"/>
      <c r="O56" s="575"/>
      <c r="P56" s="429"/>
      <c r="Q56" s="423"/>
      <c r="R56" s="429"/>
      <c r="S56" s="423"/>
      <c r="T56" s="406"/>
      <c r="U56" s="40"/>
    </row>
    <row r="57" spans="1:21" x14ac:dyDescent="0.25">
      <c r="A57" s="310" t="s">
        <v>232</v>
      </c>
      <c r="B57" s="419" t="s">
        <v>170</v>
      </c>
      <c r="C57" s="274"/>
      <c r="D57" s="274"/>
      <c r="E57" s="732">
        <v>0</v>
      </c>
      <c r="F57" s="274"/>
      <c r="G57" s="639">
        <v>0</v>
      </c>
      <c r="H57" s="626">
        <v>0</v>
      </c>
      <c r="I57" s="653">
        <v>0</v>
      </c>
      <c r="J57" s="626">
        <v>0</v>
      </c>
      <c r="K57" s="653">
        <v>0</v>
      </c>
      <c r="L57" s="532"/>
      <c r="M57" s="657">
        <v>0</v>
      </c>
      <c r="N57" s="274"/>
      <c r="O57" s="575">
        <v>0</v>
      </c>
      <c r="P57" s="426">
        <v>0</v>
      </c>
      <c r="Q57" s="423">
        <v>0</v>
      </c>
      <c r="R57" s="426">
        <v>0</v>
      </c>
      <c r="S57" s="423">
        <v>0</v>
      </c>
      <c r="T57" s="406"/>
      <c r="U57" s="40">
        <v>0</v>
      </c>
    </row>
    <row r="58" spans="1:21" x14ac:dyDescent="0.25">
      <c r="B58" s="308"/>
      <c r="C58" s="274"/>
      <c r="D58" s="274"/>
      <c r="E58" s="483"/>
      <c r="F58" s="274"/>
      <c r="G58" s="304"/>
      <c r="H58" s="423"/>
      <c r="I58" s="423"/>
      <c r="J58" s="423"/>
      <c r="K58" s="423"/>
      <c r="L58" s="274"/>
      <c r="M58" s="315"/>
      <c r="N58" s="274"/>
      <c r="O58" s="304"/>
      <c r="P58" s="423"/>
      <c r="Q58" s="423"/>
      <c r="R58" s="423"/>
      <c r="S58" s="423"/>
      <c r="T58" s="274"/>
      <c r="U58" s="315"/>
    </row>
    <row r="59" spans="1:21" ht="17.25" x14ac:dyDescent="0.4">
      <c r="B59" s="309" t="s">
        <v>67</v>
      </c>
      <c r="C59" s="274"/>
      <c r="D59" s="274"/>
      <c r="E59" s="483"/>
      <c r="F59" s="274"/>
      <c r="G59" s="304"/>
      <c r="H59" s="427"/>
      <c r="I59" s="427"/>
      <c r="J59" s="427"/>
      <c r="K59" s="427"/>
      <c r="L59" s="274"/>
      <c r="M59" s="315"/>
      <c r="N59" s="274"/>
      <c r="O59" s="304"/>
      <c r="P59" s="427"/>
      <c r="Q59" s="427"/>
      <c r="R59" s="427"/>
      <c r="S59" s="427"/>
      <c r="T59" s="274"/>
      <c r="U59" s="315"/>
    </row>
    <row r="60" spans="1:21" x14ac:dyDescent="0.25">
      <c r="B60" s="308" t="s">
        <v>68</v>
      </c>
      <c r="C60" s="274"/>
      <c r="D60" s="274"/>
      <c r="E60" s="709"/>
      <c r="F60" s="274"/>
      <c r="G60" s="322"/>
      <c r="H60" s="423"/>
      <c r="I60" s="423"/>
      <c r="J60" s="423"/>
      <c r="K60" s="423"/>
      <c r="L60" s="274"/>
      <c r="M60" s="649">
        <v>0.85</v>
      </c>
      <c r="N60" s="274"/>
      <c r="O60" s="322"/>
      <c r="P60" s="423"/>
      <c r="Q60" s="423"/>
      <c r="R60" s="423"/>
      <c r="S60" s="423"/>
      <c r="T60" s="274"/>
      <c r="U60" s="555">
        <v>0.84799999999999998</v>
      </c>
    </row>
    <row r="61" spans="1:21" ht="15.75" thickBot="1" x14ac:dyDescent="0.3">
      <c r="B61" s="334" t="s">
        <v>69</v>
      </c>
      <c r="C61" s="274"/>
      <c r="D61" s="274"/>
      <c r="E61" s="710"/>
      <c r="F61" s="274"/>
      <c r="G61" s="323"/>
      <c r="H61" s="545"/>
      <c r="I61" s="545"/>
      <c r="J61" s="545"/>
      <c r="K61" s="545"/>
      <c r="L61" s="320"/>
      <c r="M61" s="650">
        <v>0.76500000000000001</v>
      </c>
      <c r="N61" s="274"/>
      <c r="O61" s="323"/>
      <c r="P61" s="545"/>
      <c r="Q61" s="545"/>
      <c r="R61" s="545"/>
      <c r="S61" s="545"/>
      <c r="T61" s="320"/>
      <c r="U61" s="556">
        <v>0.77200000000000002</v>
      </c>
    </row>
    <row r="62" spans="1:21" x14ac:dyDescent="0.25">
      <c r="E62" s="752"/>
    </row>
    <row r="63" spans="1:21" hidden="1" outlineLevel="1" x14ac:dyDescent="0.25">
      <c r="B63" s="275" t="s">
        <v>37</v>
      </c>
      <c r="E63" s="276">
        <f>E17-E18-E19</f>
        <v>0</v>
      </c>
      <c r="G63" s="276">
        <f>G17-G18-G19</f>
        <v>0</v>
      </c>
      <c r="H63" s="276">
        <f>H17-H18-H19</f>
        <v>0</v>
      </c>
      <c r="I63" s="276">
        <f>I17-I18-I19</f>
        <v>0</v>
      </c>
      <c r="J63" s="276">
        <f>J17-J18-J19</f>
        <v>0</v>
      </c>
      <c r="K63" s="276">
        <f t="shared" ref="K63:M63" si="32">K17-K18-K19</f>
        <v>0</v>
      </c>
      <c r="L63" s="276">
        <f t="shared" si="32"/>
        <v>0</v>
      </c>
      <c r="M63" s="276">
        <f t="shared" si="32"/>
        <v>0</v>
      </c>
      <c r="O63" s="276">
        <f>O17-O18-O19</f>
        <v>0</v>
      </c>
      <c r="P63" s="276">
        <f>P17-P18-P19</f>
        <v>0</v>
      </c>
      <c r="Q63" s="276">
        <f>Q17-Q18-Q19</f>
        <v>0</v>
      </c>
      <c r="R63" s="276">
        <f>R17-R18-R19</f>
        <v>0</v>
      </c>
      <c r="S63" s="276">
        <f t="shared" ref="S63:U63" si="33">S17-S18-S19</f>
        <v>0</v>
      </c>
      <c r="T63" s="276">
        <f t="shared" si="33"/>
        <v>0</v>
      </c>
      <c r="U63" s="276">
        <f t="shared" si="33"/>
        <v>0</v>
      </c>
    </row>
    <row r="64" spans="1:21" hidden="1" outlineLevel="1" x14ac:dyDescent="0.25">
      <c r="B64" s="277" t="s">
        <v>38</v>
      </c>
      <c r="E64" s="276">
        <f>E19-SUM(E20:E23)-E24</f>
        <v>0</v>
      </c>
      <c r="G64" s="276">
        <f>G19-SUM(G20:G23)-G24</f>
        <v>0</v>
      </c>
      <c r="H64" s="276">
        <f>H19-SUM(H20:H22)-H24</f>
        <v>0</v>
      </c>
      <c r="I64" s="276">
        <f>I19-SUM(I20:I23)-I24</f>
        <v>0</v>
      </c>
      <c r="J64" s="276">
        <f>J19-SUM(J20:J22)-J24</f>
        <v>0</v>
      </c>
      <c r="K64" s="276">
        <f>K19-SUM(K20:K23)-K24</f>
        <v>0</v>
      </c>
      <c r="L64" s="276">
        <f>L19-SUM(L20:L23)-L24</f>
        <v>0</v>
      </c>
      <c r="M64" s="276">
        <f>M19-SUM(M20:M23)-M24</f>
        <v>0</v>
      </c>
      <c r="O64" s="276">
        <f>O19-SUM(O20:O23)-O24</f>
        <v>0</v>
      </c>
      <c r="P64" s="276">
        <f>P19-SUM(P20:P22)-P24</f>
        <v>0</v>
      </c>
      <c r="Q64" s="276">
        <f>Q19-SUM(Q20:Q23)-Q24</f>
        <v>0</v>
      </c>
      <c r="R64" s="276">
        <f>R19-SUM(R20:R22)-R24</f>
        <v>0</v>
      </c>
      <c r="S64" s="276">
        <f>S19-SUM(S20:S23)-S24</f>
        <v>0</v>
      </c>
      <c r="T64" s="276">
        <f>T19-SUM(T20:T23)-T24</f>
        <v>0</v>
      </c>
      <c r="U64" s="276">
        <f>U19-SUM(U20:U23)-U24</f>
        <v>0</v>
      </c>
    </row>
    <row r="65" spans="1:21" hidden="1" outlineLevel="1" x14ac:dyDescent="0.25">
      <c r="B65" s="277" t="s">
        <v>24</v>
      </c>
      <c r="E65" s="276">
        <f>E24-SUM(E25:E28)-E29</f>
        <v>0</v>
      </c>
      <c r="G65" s="276">
        <f>G24-SUM(G25:G28)-G29</f>
        <v>0</v>
      </c>
      <c r="H65" s="276">
        <f>H24-SUM(H25:H28)-H29</f>
        <v>0</v>
      </c>
      <c r="I65" s="276">
        <f>I24-SUM(I25:I28)-I29</f>
        <v>0</v>
      </c>
      <c r="J65" s="276">
        <f>J24-SUM(J25:J28)-J29</f>
        <v>0</v>
      </c>
      <c r="K65" s="276">
        <f t="shared" ref="K65:M65" si="34">K24-SUM(K25:K28)-K29</f>
        <v>0</v>
      </c>
      <c r="L65" s="276">
        <f t="shared" si="34"/>
        <v>0</v>
      </c>
      <c r="M65" s="276">
        <f t="shared" si="34"/>
        <v>0</v>
      </c>
      <c r="O65" s="276">
        <f>O24-SUM(O25:O28)-O29</f>
        <v>0</v>
      </c>
      <c r="P65" s="276">
        <f>P24-SUM(P25:P28)-P29</f>
        <v>0</v>
      </c>
      <c r="Q65" s="276">
        <f>Q24-SUM(Q25:Q28)-Q29</f>
        <v>0</v>
      </c>
      <c r="R65" s="276">
        <f>R24-SUM(R25:R28)-R29</f>
        <v>0</v>
      </c>
      <c r="S65" s="276">
        <f t="shared" ref="S65:U65" si="35">S24-SUM(S25:S28)-S29</f>
        <v>0</v>
      </c>
      <c r="T65" s="276">
        <f t="shared" si="35"/>
        <v>0</v>
      </c>
      <c r="U65" s="276">
        <f t="shared" si="35"/>
        <v>0</v>
      </c>
    </row>
    <row r="66" spans="1:21" hidden="1" outlineLevel="1" x14ac:dyDescent="0.25">
      <c r="B66" s="277" t="s">
        <v>57</v>
      </c>
      <c r="E66" s="276">
        <f>SUM(E29:E35)-E36</f>
        <v>0</v>
      </c>
      <c r="G66" s="276">
        <f>SUM(G29:G35)-G36</f>
        <v>0</v>
      </c>
      <c r="H66" s="276">
        <f>SUM(H29:H35)-H36</f>
        <v>0</v>
      </c>
      <c r="I66" s="276">
        <f>SUM(I29:I35)-I36</f>
        <v>0</v>
      </c>
      <c r="J66" s="276">
        <f>SUM(J29:J35)-J36</f>
        <v>0</v>
      </c>
      <c r="K66" s="276">
        <f t="shared" ref="K66:M66" si="36">SUM(K29:K35)-K36</f>
        <v>0</v>
      </c>
      <c r="L66" s="276">
        <f t="shared" si="36"/>
        <v>0</v>
      </c>
      <c r="M66" s="276">
        <f t="shared" si="36"/>
        <v>0</v>
      </c>
      <c r="O66" s="276">
        <f>SUM(O29:O35)-O36</f>
        <v>0</v>
      </c>
      <c r="P66" s="276">
        <f>SUM(P29:P35)-P36</f>
        <v>0</v>
      </c>
      <c r="Q66" s="276">
        <f>SUM(Q29:Q35)-Q36</f>
        <v>0</v>
      </c>
      <c r="R66" s="276">
        <f>SUM(R29:R35)-R36</f>
        <v>0</v>
      </c>
      <c r="S66" s="276">
        <f t="shared" ref="S66:U66" si="37">SUM(S29:S35)-S36</f>
        <v>0</v>
      </c>
      <c r="T66" s="276">
        <f t="shared" si="37"/>
        <v>0</v>
      </c>
      <c r="U66" s="276">
        <f t="shared" si="37"/>
        <v>0</v>
      </c>
    </row>
    <row r="67" spans="1:21" hidden="1" outlineLevel="1" x14ac:dyDescent="0.25">
      <c r="B67" s="277" t="s">
        <v>147</v>
      </c>
      <c r="E67" s="276">
        <f>SUM(E36:E43)-E44</f>
        <v>0</v>
      </c>
      <c r="G67" s="276">
        <f>SUM(G36:G43)-G44</f>
        <v>0</v>
      </c>
      <c r="H67" s="276">
        <f>SUM(H36:H43)-H44</f>
        <v>0</v>
      </c>
      <c r="I67" s="276">
        <f>SUM(I36:I43)-I44</f>
        <v>0</v>
      </c>
      <c r="J67" s="276">
        <f>SUM(J36:J43)-J44</f>
        <v>0</v>
      </c>
      <c r="K67" s="276">
        <f t="shared" ref="K67:M67" si="38">SUM(K36:K43)-K44</f>
        <v>0</v>
      </c>
      <c r="L67" s="276">
        <f t="shared" si="38"/>
        <v>0</v>
      </c>
      <c r="M67" s="276">
        <f t="shared" si="38"/>
        <v>0</v>
      </c>
      <c r="O67" s="276">
        <f>SUM(O36:O43)-O44</f>
        <v>0</v>
      </c>
      <c r="P67" s="276">
        <f>SUM(P36:P43)-P44</f>
        <v>0</v>
      </c>
      <c r="Q67" s="276">
        <f>SUM(Q36:Q43)-Q44</f>
        <v>0</v>
      </c>
      <c r="R67" s="276">
        <f>SUM(R36:R43)-R44</f>
        <v>0</v>
      </c>
      <c r="S67" s="276">
        <f t="shared" ref="S67:U67" si="39">SUM(S36:S43)-S44</f>
        <v>0</v>
      </c>
      <c r="T67" s="276">
        <f t="shared" si="39"/>
        <v>0</v>
      </c>
      <c r="U67" s="276">
        <f t="shared" si="39"/>
        <v>0</v>
      </c>
    </row>
    <row r="68" spans="1:21" hidden="1" outlineLevel="1" x14ac:dyDescent="0.25">
      <c r="B68" s="277" t="s">
        <v>39</v>
      </c>
      <c r="E68" s="276">
        <f>SUM(E49:E50)-E51</f>
        <v>0</v>
      </c>
      <c r="G68" s="276">
        <f>SUM(G49:G50)-G51</f>
        <v>0</v>
      </c>
      <c r="H68" s="276">
        <f>SUM(H49:H50)-H51</f>
        <v>0</v>
      </c>
      <c r="I68" s="276">
        <f>SUM(I49:I50)-I51</f>
        <v>0</v>
      </c>
      <c r="J68" s="276">
        <f>SUM(J49:J50)-J51</f>
        <v>0</v>
      </c>
      <c r="K68" s="276">
        <f t="shared" ref="K68:M68" si="40">SUM(K49:K50)-K51</f>
        <v>0</v>
      </c>
      <c r="L68" s="276">
        <f t="shared" si="40"/>
        <v>0</v>
      </c>
      <c r="M68" s="276">
        <f t="shared" si="40"/>
        <v>0</v>
      </c>
      <c r="O68" s="276">
        <f>SUM(O49:O50)-O51</f>
        <v>0</v>
      </c>
      <c r="P68" s="276">
        <f>SUM(P49:P50)-P51</f>
        <v>0</v>
      </c>
      <c r="Q68" s="276">
        <f>SUM(Q49:Q50)-Q51</f>
        <v>0</v>
      </c>
      <c r="R68" s="276">
        <f>SUM(R49:R50)-R51</f>
        <v>0</v>
      </c>
      <c r="S68" s="276">
        <f t="shared" ref="S68:U68" si="41">SUM(S49:S50)-S51</f>
        <v>0</v>
      </c>
      <c r="T68" s="276">
        <f t="shared" si="41"/>
        <v>0</v>
      </c>
      <c r="U68" s="276">
        <f t="shared" si="41"/>
        <v>0</v>
      </c>
    </row>
    <row r="69" spans="1:21" hidden="1" outlineLevel="1" x14ac:dyDescent="0.25">
      <c r="B69" s="277" t="s">
        <v>40</v>
      </c>
      <c r="E69" s="276">
        <f>E47-E51-E53</f>
        <v>0</v>
      </c>
      <c r="G69" s="276">
        <f>G47-G51-G53</f>
        <v>0</v>
      </c>
      <c r="H69" s="276">
        <f>H47-H51-H53</f>
        <v>0</v>
      </c>
      <c r="I69" s="276">
        <f>I47-I51-I53</f>
        <v>0</v>
      </c>
      <c r="J69" s="276">
        <f>J47-J51-J53</f>
        <v>0</v>
      </c>
      <c r="K69" s="276">
        <f t="shared" ref="K69:M69" si="42">K47-K51-K53</f>
        <v>0</v>
      </c>
      <c r="L69" s="276">
        <f t="shared" si="42"/>
        <v>0</v>
      </c>
      <c r="M69" s="276">
        <f t="shared" si="42"/>
        <v>0</v>
      </c>
      <c r="O69" s="276">
        <f>O47-O51-O53</f>
        <v>0</v>
      </c>
      <c r="P69" s="276">
        <f>P47-P51-P53</f>
        <v>0</v>
      </c>
      <c r="Q69" s="276">
        <f>Q47-Q51-Q53</f>
        <v>0</v>
      </c>
      <c r="R69" s="276">
        <f>R47-R51-R53</f>
        <v>0</v>
      </c>
      <c r="S69" s="276">
        <f t="shared" ref="S69:U69" si="43">S47-S51-S53</f>
        <v>0</v>
      </c>
      <c r="T69" s="276">
        <f t="shared" si="43"/>
        <v>0</v>
      </c>
      <c r="U69" s="276">
        <f t="shared" si="43"/>
        <v>0</v>
      </c>
    </row>
    <row r="70" spans="1:21" collapsed="1" x14ac:dyDescent="0.25">
      <c r="A70" s="310" t="s">
        <v>225</v>
      </c>
    </row>
    <row r="71" spans="1:21" x14ac:dyDescent="0.25">
      <c r="A71" s="310" t="s">
        <v>226</v>
      </c>
    </row>
    <row r="72" spans="1:21" x14ac:dyDescent="0.25">
      <c r="A72" s="310" t="s">
        <v>227</v>
      </c>
    </row>
    <row r="73" spans="1:21" x14ac:dyDescent="0.25">
      <c r="A73" s="310" t="s">
        <v>228</v>
      </c>
    </row>
  </sheetData>
  <mergeCells count="2">
    <mergeCell ref="O14:U14"/>
    <mergeCell ref="G14:M14"/>
  </mergeCells>
  <pageMargins left="0.7" right="0.7" top="0.75" bottom="0.75" header="0.3" footer="0.3"/>
  <pageSetup orientation="portrait"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C192B-369E-4D04-B549-CCA31BD55070}">
  <dimension ref="A1:X33"/>
  <sheetViews>
    <sheetView workbookViewId="0">
      <selection activeCell="A3" sqref="A3"/>
    </sheetView>
  </sheetViews>
  <sheetFormatPr defaultColWidth="9.140625" defaultRowHeight="15" outlineLevelRow="1" x14ac:dyDescent="0.25"/>
  <cols>
    <col min="1" max="1" width="9.140625" style="4"/>
    <col min="2" max="2" width="48.140625" style="4" bestFit="1" customWidth="1"/>
    <col min="3" max="3" width="14" style="259" customWidth="1"/>
    <col min="4" max="4" width="2" style="259" customWidth="1"/>
    <col min="5" max="5" width="11.5703125" style="259" customWidth="1"/>
    <col min="6" max="6" width="1.28515625" style="259" customWidth="1"/>
    <col min="7" max="7" width="11.5703125" style="259" customWidth="1"/>
    <col min="8" max="8" width="1.42578125" style="259" customWidth="1"/>
    <col min="9" max="9" width="14" style="259" customWidth="1"/>
    <col min="10" max="10" width="1.28515625" style="259" customWidth="1"/>
    <col min="11" max="11" width="11.42578125" style="259" customWidth="1"/>
    <col min="12" max="12" width="1.7109375" style="259" customWidth="1"/>
    <col min="13" max="13" width="11.42578125" style="259" customWidth="1"/>
    <col min="14" max="14" width="2.7109375" style="259" customWidth="1"/>
    <col min="15" max="15" width="11.28515625" style="259" customWidth="1"/>
    <col min="16" max="16" width="0.7109375" style="259" customWidth="1"/>
    <col min="17" max="17" width="11.28515625" style="259" customWidth="1"/>
    <col min="18" max="18" width="1.140625" style="259" customWidth="1"/>
    <col min="19" max="19" width="10.28515625" style="259" customWidth="1"/>
    <col min="20" max="20" width="1.28515625" style="259" customWidth="1"/>
    <col min="21" max="21" width="12.42578125" style="259" bestFit="1" customWidth="1"/>
    <col min="22" max="22" width="2.140625" style="259" customWidth="1"/>
    <col min="23" max="23" width="12.5703125" style="259" bestFit="1" customWidth="1"/>
    <col min="24" max="24" width="9.5703125" style="4" bestFit="1" customWidth="1"/>
    <col min="25" max="16384" width="9.140625" style="4"/>
  </cols>
  <sheetData>
    <row r="1" spans="1:24" x14ac:dyDescent="0.25">
      <c r="A1" s="12" t="s">
        <v>0</v>
      </c>
      <c r="B1" s="6"/>
      <c r="C1" s="258"/>
      <c r="D1" s="258"/>
      <c r="E1" s="258"/>
      <c r="F1" s="258"/>
      <c r="G1" s="258"/>
      <c r="H1" s="258"/>
      <c r="I1" s="258"/>
      <c r="J1" s="258"/>
      <c r="K1" s="258"/>
      <c r="L1" s="258"/>
      <c r="M1" s="258"/>
      <c r="N1" s="258"/>
      <c r="O1" s="258"/>
      <c r="P1" s="258"/>
      <c r="Q1" s="258"/>
      <c r="R1" s="258"/>
      <c r="S1" s="258"/>
      <c r="T1" s="258"/>
      <c r="U1" s="258"/>
      <c r="V1" s="258"/>
      <c r="W1" s="258"/>
      <c r="X1" s="6"/>
    </row>
    <row r="2" spans="1:24" x14ac:dyDescent="0.25">
      <c r="A2" s="12" t="s">
        <v>268</v>
      </c>
      <c r="B2" s="12"/>
      <c r="C2" s="420"/>
      <c r="D2" s="420"/>
      <c r="E2" s="420"/>
      <c r="F2" s="420"/>
      <c r="G2" s="420"/>
      <c r="H2" s="420"/>
      <c r="I2" s="420"/>
      <c r="J2" s="420"/>
      <c r="K2" s="420"/>
      <c r="L2" s="420"/>
      <c r="M2" s="420"/>
      <c r="N2" s="420"/>
      <c r="O2" s="420"/>
      <c r="P2" s="420"/>
      <c r="Q2" s="420"/>
      <c r="R2" s="420"/>
      <c r="S2" s="420"/>
      <c r="T2" s="420"/>
      <c r="U2" s="420"/>
      <c r="V2" s="420"/>
      <c r="W2" s="420"/>
      <c r="X2" s="274"/>
    </row>
    <row r="3" spans="1:24" x14ac:dyDescent="0.25">
      <c r="A3" s="538"/>
      <c r="B3" s="553"/>
      <c r="C3" s="420"/>
      <c r="D3" s="420"/>
      <c r="E3" s="420"/>
      <c r="F3" s="420"/>
      <c r="G3" s="420"/>
      <c r="H3" s="420"/>
      <c r="I3" s="420"/>
      <c r="J3" s="420"/>
      <c r="K3" s="420"/>
      <c r="L3" s="420"/>
      <c r="M3" s="420"/>
      <c r="N3" s="420"/>
      <c r="O3" s="420"/>
      <c r="P3" s="420"/>
      <c r="Q3" s="420"/>
      <c r="R3" s="420"/>
      <c r="S3" s="420"/>
      <c r="T3" s="420"/>
      <c r="U3" s="420"/>
      <c r="V3" s="420"/>
      <c r="W3" s="420"/>
      <c r="X3" s="274"/>
    </row>
    <row r="4" spans="1:24" x14ac:dyDescent="0.25">
      <c r="A4" s="6"/>
      <c r="B4" s="6"/>
      <c r="C4" s="258"/>
      <c r="D4" s="258"/>
      <c r="E4" s="258"/>
      <c r="F4" s="258"/>
      <c r="G4" s="258"/>
      <c r="H4" s="258"/>
      <c r="I4" s="258"/>
      <c r="J4" s="258"/>
      <c r="K4" s="258"/>
      <c r="L4" s="258"/>
      <c r="M4" s="258"/>
      <c r="N4" s="258"/>
      <c r="O4" s="258"/>
      <c r="P4" s="258"/>
      <c r="Q4" s="258"/>
      <c r="R4" s="258"/>
      <c r="S4" s="258"/>
      <c r="T4" s="258"/>
      <c r="U4" s="258"/>
      <c r="V4" s="258"/>
      <c r="W4" s="258"/>
      <c r="X4" s="6"/>
    </row>
    <row r="5" spans="1:24" x14ac:dyDescent="0.25">
      <c r="A5" s="6"/>
      <c r="B5" s="6"/>
      <c r="C5" s="258"/>
      <c r="D5" s="258"/>
      <c r="E5" s="258"/>
      <c r="F5" s="258"/>
      <c r="G5" s="258"/>
      <c r="H5" s="258"/>
      <c r="I5" s="258"/>
      <c r="J5" s="258"/>
      <c r="K5" s="258"/>
      <c r="L5" s="258"/>
      <c r="M5" s="258"/>
      <c r="N5" s="258"/>
      <c r="O5" s="258"/>
      <c r="P5" s="258"/>
      <c r="Q5" s="258"/>
      <c r="R5" s="258"/>
      <c r="S5" s="258"/>
      <c r="T5" s="258"/>
      <c r="U5" s="258"/>
      <c r="V5" s="258"/>
      <c r="W5" s="258"/>
      <c r="X5" s="6"/>
    </row>
    <row r="6" spans="1:24" ht="29.25" customHeight="1" x14ac:dyDescent="0.25">
      <c r="A6" s="6"/>
      <c r="B6" s="6"/>
      <c r="C6" s="199" t="s">
        <v>90</v>
      </c>
      <c r="D6" s="199"/>
      <c r="E6" s="257" t="s">
        <v>91</v>
      </c>
      <c r="F6" s="257"/>
      <c r="G6" s="257" t="s">
        <v>174</v>
      </c>
      <c r="H6" s="257"/>
      <c r="I6" s="257" t="s">
        <v>187</v>
      </c>
      <c r="J6" s="257"/>
      <c r="K6" s="257" t="s">
        <v>193</v>
      </c>
      <c r="L6" s="257"/>
      <c r="M6" s="257" t="s">
        <v>243</v>
      </c>
      <c r="N6" s="257"/>
      <c r="O6" s="422" t="s">
        <v>159</v>
      </c>
      <c r="P6" s="422"/>
      <c r="Q6" s="257" t="s">
        <v>182</v>
      </c>
      <c r="R6" s="257"/>
      <c r="S6" s="257" t="s">
        <v>92</v>
      </c>
      <c r="T6" s="257"/>
      <c r="U6" s="257" t="s">
        <v>93</v>
      </c>
      <c r="V6" s="257"/>
      <c r="W6" s="257" t="s">
        <v>94</v>
      </c>
      <c r="X6" s="6"/>
    </row>
    <row r="7" spans="1:24" s="14" customFormat="1" x14ac:dyDescent="0.25">
      <c r="A7" s="6"/>
      <c r="B7" s="12" t="s">
        <v>194</v>
      </c>
      <c r="C7" s="534">
        <v>-180185</v>
      </c>
      <c r="D7" s="534"/>
      <c r="E7" s="534">
        <v>28255</v>
      </c>
      <c r="F7" s="534"/>
      <c r="G7" s="534">
        <v>28952</v>
      </c>
      <c r="H7" s="534"/>
      <c r="I7" s="534">
        <v>-175353</v>
      </c>
      <c r="J7" s="534"/>
      <c r="K7" s="534">
        <v>-9467</v>
      </c>
      <c r="L7" s="534"/>
      <c r="M7" s="534">
        <v>4661</v>
      </c>
      <c r="N7" s="534"/>
      <c r="O7" s="534">
        <v>-6125</v>
      </c>
      <c r="P7" s="534"/>
      <c r="Q7" s="534">
        <v>-7071</v>
      </c>
      <c r="R7" s="534"/>
      <c r="S7" s="534">
        <v>-7184</v>
      </c>
      <c r="T7" s="534"/>
      <c r="U7" s="534">
        <v>26883</v>
      </c>
      <c r="V7" s="534"/>
      <c r="W7" s="534">
        <f>SUM(C7:U7)</f>
        <v>-296634</v>
      </c>
      <c r="X7" s="26"/>
    </row>
    <row r="8" spans="1:24" x14ac:dyDescent="0.25">
      <c r="A8" s="6"/>
      <c r="B8" s="6" t="s">
        <v>54</v>
      </c>
      <c r="C8" s="533"/>
      <c r="D8" s="533"/>
      <c r="E8" s="533"/>
      <c r="F8" s="533"/>
      <c r="G8" s="533"/>
      <c r="H8" s="533"/>
      <c r="I8" s="533"/>
      <c r="J8" s="533"/>
      <c r="K8" s="533"/>
      <c r="L8" s="533"/>
      <c r="M8" s="533"/>
      <c r="N8" s="533"/>
      <c r="O8" s="533"/>
      <c r="P8" s="533"/>
      <c r="Q8" s="533"/>
      <c r="R8" s="533"/>
      <c r="S8" s="533"/>
      <c r="T8" s="533"/>
      <c r="U8" s="533"/>
      <c r="V8" s="533"/>
      <c r="W8" s="533"/>
      <c r="X8" s="26"/>
    </row>
    <row r="9" spans="1:24" x14ac:dyDescent="0.25">
      <c r="A9" s="6"/>
      <c r="B9" s="6" t="s">
        <v>21</v>
      </c>
      <c r="C9" s="535">
        <v>-21052</v>
      </c>
      <c r="D9" s="535"/>
      <c r="E9" s="535">
        <v>8656</v>
      </c>
      <c r="F9" s="535"/>
      <c r="G9" s="535">
        <v>5557</v>
      </c>
      <c r="H9" s="535"/>
      <c r="I9" s="535">
        <v>-255</v>
      </c>
      <c r="J9" s="535"/>
      <c r="K9" s="535">
        <v>-3067</v>
      </c>
      <c r="L9" s="535"/>
      <c r="M9" s="535">
        <v>944</v>
      </c>
      <c r="N9" s="535"/>
      <c r="O9" s="535">
        <v>-95</v>
      </c>
      <c r="P9" s="535"/>
      <c r="Q9" s="535">
        <v>-1168</v>
      </c>
      <c r="R9" s="535"/>
      <c r="S9" s="535">
        <v>1715</v>
      </c>
      <c r="T9" s="535"/>
      <c r="U9" s="535">
        <v>7820</v>
      </c>
      <c r="V9" s="535"/>
      <c r="W9" s="535">
        <f>SUM(C9:U9)</f>
        <v>-945</v>
      </c>
      <c r="X9" s="26"/>
    </row>
    <row r="10" spans="1:24" x14ac:dyDescent="0.25">
      <c r="A10" s="6"/>
      <c r="B10" s="6" t="s">
        <v>195</v>
      </c>
      <c r="C10" s="535">
        <v>151576</v>
      </c>
      <c r="D10" s="535"/>
      <c r="E10" s="535">
        <v>-8</v>
      </c>
      <c r="F10" s="535"/>
      <c r="G10" s="535">
        <v>-4</v>
      </c>
      <c r="H10" s="535"/>
      <c r="I10" s="535">
        <v>23339</v>
      </c>
      <c r="J10" s="535"/>
      <c r="K10" s="535">
        <v>-26</v>
      </c>
      <c r="L10" s="535"/>
      <c r="M10" s="535">
        <v>-6</v>
      </c>
      <c r="N10" s="535"/>
      <c r="O10" s="535">
        <v>1</v>
      </c>
      <c r="P10" s="535"/>
      <c r="Q10" s="535">
        <v>-160</v>
      </c>
      <c r="R10" s="535"/>
      <c r="S10" s="535">
        <v>558</v>
      </c>
      <c r="T10" s="535"/>
      <c r="U10" s="535">
        <v>0</v>
      </c>
      <c r="V10" s="535"/>
      <c r="W10" s="535">
        <f>SUM(C10:U10)</f>
        <v>175270</v>
      </c>
      <c r="X10" s="26"/>
    </row>
    <row r="11" spans="1:24" x14ac:dyDescent="0.25">
      <c r="A11" s="6"/>
      <c r="B11" s="6" t="s">
        <v>95</v>
      </c>
      <c r="C11" s="535">
        <v>-152618</v>
      </c>
      <c r="D11" s="535"/>
      <c r="E11" s="535">
        <v>14565</v>
      </c>
      <c r="F11" s="535"/>
      <c r="G11" s="535">
        <v>14437</v>
      </c>
      <c r="H11" s="535"/>
      <c r="I11" s="535">
        <v>56644</v>
      </c>
      <c r="J11" s="535"/>
      <c r="K11" s="535">
        <v>16155</v>
      </c>
      <c r="L11" s="535"/>
      <c r="M11" s="535">
        <v>9530</v>
      </c>
      <c r="N11" s="535"/>
      <c r="O11" s="535">
        <v>6552</v>
      </c>
      <c r="P11" s="535"/>
      <c r="Q11" s="535">
        <v>18154</v>
      </c>
      <c r="R11" s="535"/>
      <c r="S11" s="535">
        <v>8343</v>
      </c>
      <c r="T11" s="535"/>
      <c r="U11" s="535">
        <v>8238</v>
      </c>
      <c r="V11" s="535"/>
      <c r="W11" s="535">
        <f>SUM(C11:U11)</f>
        <v>0</v>
      </c>
      <c r="X11" s="26"/>
    </row>
    <row r="12" spans="1:24" x14ac:dyDescent="0.25">
      <c r="A12" s="6"/>
      <c r="B12" s="6" t="s">
        <v>97</v>
      </c>
      <c r="C12" s="535">
        <v>2827</v>
      </c>
      <c r="D12" s="535"/>
      <c r="E12" s="535">
        <v>0</v>
      </c>
      <c r="F12" s="535"/>
      <c r="G12" s="535">
        <v>0</v>
      </c>
      <c r="H12" s="535"/>
      <c r="I12" s="535">
        <v>0</v>
      </c>
      <c r="J12" s="535"/>
      <c r="K12" s="535">
        <v>0</v>
      </c>
      <c r="L12" s="535"/>
      <c r="M12" s="535">
        <v>0</v>
      </c>
      <c r="N12" s="535"/>
      <c r="O12" s="535">
        <v>0</v>
      </c>
      <c r="P12" s="535"/>
      <c r="Q12" s="535">
        <v>0</v>
      </c>
      <c r="R12" s="535"/>
      <c r="S12" s="535">
        <v>0</v>
      </c>
      <c r="T12" s="535"/>
      <c r="U12" s="535">
        <v>0</v>
      </c>
      <c r="V12" s="535"/>
      <c r="W12" s="535">
        <f>SUM(C12:U12)</f>
        <v>2827</v>
      </c>
      <c r="X12" s="26"/>
    </row>
    <row r="13" spans="1:24" s="14" customFormat="1" x14ac:dyDescent="0.25">
      <c r="A13" s="12"/>
      <c r="B13" s="6" t="s">
        <v>96</v>
      </c>
      <c r="C13" s="536">
        <v>-3535</v>
      </c>
      <c r="D13" s="536"/>
      <c r="E13" s="536">
        <v>22044</v>
      </c>
      <c r="F13" s="536"/>
      <c r="G13" s="536">
        <v>21145</v>
      </c>
      <c r="H13" s="536"/>
      <c r="I13" s="536">
        <v>7631</v>
      </c>
      <c r="J13" s="536"/>
      <c r="K13" s="536">
        <v>21307</v>
      </c>
      <c r="L13" s="536"/>
      <c r="M13" s="536">
        <v>16631</v>
      </c>
      <c r="N13" s="536"/>
      <c r="O13" s="536">
        <v>5517</v>
      </c>
      <c r="P13" s="536"/>
      <c r="Q13" s="536">
        <v>26510</v>
      </c>
      <c r="R13" s="536"/>
      <c r="S13" s="536">
        <v>10951</v>
      </c>
      <c r="T13" s="536"/>
      <c r="U13" s="536">
        <v>14319</v>
      </c>
      <c r="V13" s="536"/>
      <c r="W13" s="536">
        <f>SUM(C13:U13)</f>
        <v>142520</v>
      </c>
      <c r="X13" s="26"/>
    </row>
    <row r="14" spans="1:24" s="14" customFormat="1" x14ac:dyDescent="0.25">
      <c r="A14" s="12"/>
      <c r="B14" s="12" t="s">
        <v>57</v>
      </c>
      <c r="C14" s="535">
        <f>SUM(C7:C13)</f>
        <v>-202987</v>
      </c>
      <c r="D14" s="535"/>
      <c r="E14" s="535">
        <f t="shared" ref="E14:W14" si="0">SUM(E7:E13)</f>
        <v>73512</v>
      </c>
      <c r="F14" s="535"/>
      <c r="G14" s="535">
        <f t="shared" si="0"/>
        <v>70087</v>
      </c>
      <c r="H14" s="535"/>
      <c r="I14" s="535">
        <f t="shared" si="0"/>
        <v>-87994</v>
      </c>
      <c r="J14" s="535"/>
      <c r="K14" s="535">
        <f t="shared" si="0"/>
        <v>24902</v>
      </c>
      <c r="L14" s="535"/>
      <c r="M14" s="535">
        <f t="shared" si="0"/>
        <v>31760</v>
      </c>
      <c r="N14" s="535"/>
      <c r="O14" s="535">
        <f t="shared" si="0"/>
        <v>5850</v>
      </c>
      <c r="P14" s="535"/>
      <c r="Q14" s="535">
        <f t="shared" si="0"/>
        <v>36265</v>
      </c>
      <c r="R14" s="535"/>
      <c r="S14" s="535">
        <f t="shared" si="0"/>
        <v>14383</v>
      </c>
      <c r="T14" s="535"/>
      <c r="U14" s="535">
        <f t="shared" si="0"/>
        <v>57260</v>
      </c>
      <c r="V14" s="535"/>
      <c r="W14" s="535">
        <f t="shared" si="0"/>
        <v>23038</v>
      </c>
      <c r="X14" s="26"/>
    </row>
    <row r="15" spans="1:24" s="14" customFormat="1" x14ac:dyDescent="0.25">
      <c r="A15" s="12"/>
      <c r="B15" s="6" t="s">
        <v>163</v>
      </c>
      <c r="C15" s="535">
        <v>13</v>
      </c>
      <c r="D15" s="535"/>
      <c r="E15" s="535">
        <v>-323</v>
      </c>
      <c r="F15" s="535"/>
      <c r="G15" s="535">
        <v>308</v>
      </c>
      <c r="H15" s="535"/>
      <c r="I15" s="535">
        <v>12495</v>
      </c>
      <c r="J15" s="535"/>
      <c r="K15" s="535">
        <v>22</v>
      </c>
      <c r="L15" s="535"/>
      <c r="M15" s="535">
        <v>-32</v>
      </c>
      <c r="N15" s="535"/>
      <c r="O15" s="535">
        <v>-1745</v>
      </c>
      <c r="P15" s="535"/>
      <c r="Q15" s="535">
        <v>4349</v>
      </c>
      <c r="R15" s="535"/>
      <c r="S15" s="535">
        <v>-20</v>
      </c>
      <c r="T15" s="535"/>
      <c r="U15" s="535">
        <v>-403</v>
      </c>
      <c r="V15" s="535"/>
      <c r="W15" s="535">
        <f t="shared" ref="W15:W21" si="1">SUM(C15:U15)</f>
        <v>14664</v>
      </c>
      <c r="X15" s="26"/>
    </row>
    <row r="16" spans="1:24" x14ac:dyDescent="0.25">
      <c r="A16" s="6"/>
      <c r="B16" s="6" t="s">
        <v>59</v>
      </c>
      <c r="C16" s="535" t="s">
        <v>245</v>
      </c>
      <c r="D16" s="535"/>
      <c r="E16" s="535">
        <v>2416</v>
      </c>
      <c r="F16" s="535"/>
      <c r="G16" s="535">
        <v>5422</v>
      </c>
      <c r="H16" s="535"/>
      <c r="I16" s="535">
        <v>2495</v>
      </c>
      <c r="J16" s="535"/>
      <c r="K16" s="535">
        <v>2347</v>
      </c>
      <c r="L16" s="535"/>
      <c r="M16" s="535">
        <v>1256</v>
      </c>
      <c r="N16" s="535"/>
      <c r="O16" s="535">
        <v>132</v>
      </c>
      <c r="P16" s="535"/>
      <c r="Q16" s="535">
        <v>836</v>
      </c>
      <c r="R16" s="535"/>
      <c r="S16" s="535">
        <v>66</v>
      </c>
      <c r="T16" s="535"/>
      <c r="U16" s="535">
        <v>1158</v>
      </c>
      <c r="V16" s="535"/>
      <c r="W16" s="535">
        <f t="shared" si="1"/>
        <v>16128</v>
      </c>
      <c r="X16" s="26"/>
    </row>
    <row r="17" spans="1:24" x14ac:dyDescent="0.25">
      <c r="A17" s="6"/>
      <c r="B17" s="6" t="s">
        <v>71</v>
      </c>
      <c r="C17" s="535" t="s">
        <v>245</v>
      </c>
      <c r="D17" s="535"/>
      <c r="E17" s="535" t="s">
        <v>248</v>
      </c>
      <c r="F17" s="535"/>
      <c r="G17" s="535" t="s">
        <v>248</v>
      </c>
      <c r="H17" s="535"/>
      <c r="I17" s="535">
        <v>31515</v>
      </c>
      <c r="J17" s="535"/>
      <c r="K17" s="535" t="s">
        <v>247</v>
      </c>
      <c r="L17" s="535"/>
      <c r="M17" s="535" t="s">
        <v>249</v>
      </c>
      <c r="N17" s="535"/>
      <c r="O17" s="535">
        <v>0</v>
      </c>
      <c r="P17" s="535"/>
      <c r="Q17" s="535" t="s">
        <v>247</v>
      </c>
      <c r="R17" s="535"/>
      <c r="S17" s="535" t="s">
        <v>246</v>
      </c>
      <c r="T17" s="535"/>
      <c r="U17" s="535" t="s">
        <v>247</v>
      </c>
      <c r="V17" s="535"/>
      <c r="W17" s="535">
        <f t="shared" si="1"/>
        <v>31515</v>
      </c>
      <c r="X17" s="26"/>
    </row>
    <row r="18" spans="1:24" x14ac:dyDescent="0.25">
      <c r="A18" s="6"/>
      <c r="B18" s="6" t="s">
        <v>98</v>
      </c>
      <c r="C18" s="535" t="s">
        <v>245</v>
      </c>
      <c r="D18" s="535"/>
      <c r="E18" s="535" t="s">
        <v>248</v>
      </c>
      <c r="F18" s="535"/>
      <c r="G18" s="535" t="s">
        <v>248</v>
      </c>
      <c r="H18" s="535"/>
      <c r="I18" s="535" t="s">
        <v>247</v>
      </c>
      <c r="J18" s="535"/>
      <c r="K18" s="535" t="s">
        <v>247</v>
      </c>
      <c r="L18" s="535"/>
      <c r="M18" s="535">
        <v>0</v>
      </c>
      <c r="N18" s="535"/>
      <c r="O18" s="535" t="s">
        <v>247</v>
      </c>
      <c r="P18" s="535"/>
      <c r="Q18" s="535">
        <v>0</v>
      </c>
      <c r="R18" s="535"/>
      <c r="S18" s="535" t="s">
        <v>246</v>
      </c>
      <c r="T18" s="535"/>
      <c r="U18" s="535" t="s">
        <v>247</v>
      </c>
      <c r="V18" s="535"/>
      <c r="W18" s="535">
        <f t="shared" si="1"/>
        <v>0</v>
      </c>
      <c r="X18" s="26"/>
    </row>
    <row r="19" spans="1:24" x14ac:dyDescent="0.25">
      <c r="A19" s="6"/>
      <c r="B19" s="6" t="s">
        <v>157</v>
      </c>
      <c r="C19" s="535" t="s">
        <v>245</v>
      </c>
      <c r="D19" s="535"/>
      <c r="E19" s="535" t="s">
        <v>248</v>
      </c>
      <c r="F19" s="535"/>
      <c r="G19" s="535" t="s">
        <v>248</v>
      </c>
      <c r="H19" s="535"/>
      <c r="I19" s="535" t="s">
        <v>247</v>
      </c>
      <c r="J19" s="535"/>
      <c r="K19" s="535" t="s">
        <v>247</v>
      </c>
      <c r="L19" s="535"/>
      <c r="M19" s="535">
        <v>875</v>
      </c>
      <c r="N19" s="535"/>
      <c r="O19" s="535" t="s">
        <v>247</v>
      </c>
      <c r="P19" s="535"/>
      <c r="Q19" s="535" t="s">
        <v>247</v>
      </c>
      <c r="R19" s="535"/>
      <c r="S19" s="535" t="s">
        <v>246</v>
      </c>
      <c r="T19" s="535"/>
      <c r="U19" s="535" t="s">
        <v>247</v>
      </c>
      <c r="V19" s="535"/>
      <c r="W19" s="535">
        <f t="shared" si="1"/>
        <v>875</v>
      </c>
      <c r="X19" s="26"/>
    </row>
    <row r="20" spans="1:24" x14ac:dyDescent="0.25">
      <c r="A20" s="6"/>
      <c r="B20" s="6" t="s">
        <v>34</v>
      </c>
      <c r="C20" s="540">
        <v>111876</v>
      </c>
      <c r="D20" s="540"/>
      <c r="E20" s="540" t="s">
        <v>248</v>
      </c>
      <c r="F20" s="540"/>
      <c r="G20" s="540" t="s">
        <v>248</v>
      </c>
      <c r="H20" s="540"/>
      <c r="I20" s="540" t="s">
        <v>247</v>
      </c>
      <c r="J20" s="540"/>
      <c r="K20" s="540">
        <v>667</v>
      </c>
      <c r="L20" s="540"/>
      <c r="M20" s="540">
        <v>945</v>
      </c>
      <c r="N20" s="540"/>
      <c r="O20" s="540">
        <v>1280</v>
      </c>
      <c r="P20" s="540"/>
      <c r="Q20" s="540">
        <v>9421</v>
      </c>
      <c r="R20" s="540"/>
      <c r="S20" s="540">
        <v>2487</v>
      </c>
      <c r="T20" s="540"/>
      <c r="U20" s="540">
        <v>391</v>
      </c>
      <c r="V20" s="540"/>
      <c r="W20" s="540">
        <f t="shared" si="1"/>
        <v>127067</v>
      </c>
      <c r="X20" s="26"/>
    </row>
    <row r="21" spans="1:24" s="14" customFormat="1" ht="15.75" thickBot="1" x14ac:dyDescent="0.3">
      <c r="A21" s="12"/>
      <c r="B21" s="12" t="s">
        <v>65</v>
      </c>
      <c r="C21" s="242">
        <f>(SUM(C14:C20))</f>
        <v>-91098</v>
      </c>
      <c r="D21" s="242">
        <v>0</v>
      </c>
      <c r="E21" s="242">
        <f>(SUM(E14:E20))</f>
        <v>75605</v>
      </c>
      <c r="F21" s="242">
        <f>(SUM(F14:F20))</f>
        <v>0</v>
      </c>
      <c r="G21" s="242">
        <f>(SUM(G14:G20))</f>
        <v>75817</v>
      </c>
      <c r="H21" s="242">
        <f t="shared" ref="H21:V21" si="2">(SUM(H14:H20))</f>
        <v>0</v>
      </c>
      <c r="I21" s="242">
        <f t="shared" si="2"/>
        <v>-41489</v>
      </c>
      <c r="J21" s="242">
        <f t="shared" si="2"/>
        <v>0</v>
      </c>
      <c r="K21" s="242">
        <f t="shared" si="2"/>
        <v>27938</v>
      </c>
      <c r="L21" s="242">
        <f t="shared" si="2"/>
        <v>0</v>
      </c>
      <c r="M21" s="242">
        <f t="shared" si="2"/>
        <v>34804</v>
      </c>
      <c r="N21" s="242"/>
      <c r="O21" s="242">
        <f t="shared" si="2"/>
        <v>5517</v>
      </c>
      <c r="P21" s="242">
        <f t="shared" si="2"/>
        <v>0</v>
      </c>
      <c r="Q21" s="242">
        <f t="shared" si="2"/>
        <v>50871</v>
      </c>
      <c r="R21" s="242">
        <f t="shared" si="2"/>
        <v>0</v>
      </c>
      <c r="S21" s="242">
        <f t="shared" si="2"/>
        <v>16916</v>
      </c>
      <c r="T21" s="242">
        <f t="shared" si="2"/>
        <v>0</v>
      </c>
      <c r="U21" s="242">
        <f t="shared" si="2"/>
        <v>58406</v>
      </c>
      <c r="V21" s="242">
        <f t="shared" si="2"/>
        <v>0</v>
      </c>
      <c r="W21" s="242">
        <f t="shared" si="1"/>
        <v>213287</v>
      </c>
      <c r="X21" s="26"/>
    </row>
    <row r="22" spans="1:24" ht="15.75" thickTop="1" x14ac:dyDescent="0.25">
      <c r="A22" s="6"/>
      <c r="B22" s="6"/>
      <c r="C22" s="258"/>
      <c r="D22" s="258"/>
      <c r="E22" s="22"/>
      <c r="F22" s="22"/>
      <c r="G22" s="22"/>
      <c r="H22" s="22"/>
      <c r="I22" s="22"/>
      <c r="J22" s="22"/>
      <c r="K22" s="22"/>
      <c r="L22" s="22"/>
      <c r="M22" s="22"/>
      <c r="N22" s="22"/>
      <c r="O22" s="22"/>
      <c r="P22" s="22"/>
      <c r="Q22" s="22"/>
      <c r="R22" s="22"/>
      <c r="S22" s="22"/>
      <c r="T22" s="22"/>
      <c r="U22" s="22"/>
      <c r="V22" s="22"/>
      <c r="W22" s="22"/>
      <c r="X22" s="6"/>
    </row>
    <row r="23" spans="1:24" x14ac:dyDescent="0.25">
      <c r="A23" s="6"/>
      <c r="B23" s="597"/>
      <c r="C23" s="597"/>
      <c r="D23" s="597"/>
      <c r="E23" s="597"/>
      <c r="F23" s="597"/>
      <c r="G23" s="597"/>
      <c r="H23" s="597"/>
      <c r="I23" s="597"/>
      <c r="J23" s="597"/>
      <c r="K23" s="597"/>
      <c r="L23" s="597"/>
      <c r="M23" s="597"/>
      <c r="N23" s="597"/>
      <c r="O23" s="597"/>
      <c r="P23" s="597"/>
      <c r="Q23" s="597"/>
      <c r="R23" s="597"/>
      <c r="S23" s="597"/>
      <c r="T23" s="597"/>
      <c r="U23" s="597"/>
      <c r="V23" s="597"/>
      <c r="W23" s="597"/>
      <c r="X23" s="6"/>
    </row>
    <row r="24" spans="1:24" x14ac:dyDescent="0.25">
      <c r="A24" s="6"/>
      <c r="B24" s="597"/>
      <c r="C24" s="597"/>
      <c r="D24" s="597"/>
      <c r="E24" s="597"/>
      <c r="F24" s="597"/>
      <c r="G24" s="597"/>
      <c r="H24" s="597"/>
      <c r="I24" s="597"/>
      <c r="J24" s="597"/>
      <c r="K24" s="597"/>
      <c r="L24" s="597"/>
      <c r="M24" s="597"/>
      <c r="N24" s="597"/>
      <c r="O24" s="597"/>
      <c r="P24" s="597"/>
      <c r="Q24" s="597"/>
      <c r="R24" s="597"/>
      <c r="S24" s="597"/>
      <c r="T24" s="597"/>
      <c r="U24" s="597"/>
      <c r="V24" s="597"/>
      <c r="W24" s="597"/>
      <c r="X24" s="6"/>
    </row>
    <row r="25" spans="1:24" hidden="1" outlineLevel="1" x14ac:dyDescent="0.25">
      <c r="B25" s="548" t="s">
        <v>200</v>
      </c>
      <c r="C25" s="4"/>
      <c r="D25" s="4"/>
      <c r="E25" s="4"/>
      <c r="F25" s="4"/>
      <c r="G25" s="4"/>
      <c r="H25" s="4"/>
      <c r="I25" s="4"/>
      <c r="J25" s="4"/>
      <c r="K25" s="4"/>
      <c r="L25" s="4"/>
      <c r="M25" s="4"/>
      <c r="N25" s="4"/>
      <c r="O25" s="4"/>
      <c r="P25" s="4"/>
      <c r="Q25" s="4"/>
      <c r="R25" s="4"/>
      <c r="S25" s="4"/>
      <c r="T25" s="4"/>
      <c r="U25" s="4"/>
      <c r="V25" s="4"/>
      <c r="W25" s="4"/>
    </row>
    <row r="26" spans="1:24" s="66" customFormat="1" hidden="1" outlineLevel="1" x14ac:dyDescent="0.25">
      <c r="B26" s="66" t="s">
        <v>57</v>
      </c>
      <c r="C26" s="66">
        <f>SUM(C7:C13)-C14</f>
        <v>0</v>
      </c>
      <c r="E26" s="66">
        <f>SUM(E7:E13)-E14</f>
        <v>0</v>
      </c>
      <c r="G26" s="66">
        <f>SUM(G7:G13)-G14</f>
        <v>0</v>
      </c>
      <c r="I26" s="66">
        <f>SUM(I7:I13)-I14</f>
        <v>0</v>
      </c>
      <c r="K26" s="66">
        <f>SUM(K7:K13)-K14</f>
        <v>0</v>
      </c>
      <c r="M26" s="66">
        <f>SUM(M7:M13)-M14</f>
        <v>0</v>
      </c>
      <c r="O26" s="66">
        <f>SUM(O7:O13)-O14</f>
        <v>0</v>
      </c>
      <c r="Q26" s="66">
        <f>SUM(Q7:Q13)-Q14</f>
        <v>0</v>
      </c>
      <c r="S26" s="66">
        <f>SUM(S7:S13)-S14</f>
        <v>0</v>
      </c>
      <c r="U26" s="66">
        <f>SUM(U7:U13)-U14</f>
        <v>0</v>
      </c>
      <c r="W26" s="66">
        <f>SUM(W7:W13)-W14</f>
        <v>0</v>
      </c>
    </row>
    <row r="27" spans="1:24" s="66" customFormat="1" hidden="1" outlineLevel="1" x14ac:dyDescent="0.25">
      <c r="B27" s="66" t="s">
        <v>65</v>
      </c>
      <c r="C27" s="66">
        <f>SUM(C14:C20)-C21</f>
        <v>0</v>
      </c>
      <c r="E27" s="66">
        <f>SUM(E14:E20)-E21</f>
        <v>0</v>
      </c>
      <c r="G27" s="66">
        <f>SUM(G14:G20)-G21</f>
        <v>0</v>
      </c>
      <c r="I27" s="66">
        <f>SUM(I14:I20)-I21</f>
        <v>0</v>
      </c>
      <c r="K27" s="66">
        <f>SUM(K14:K20)-K21</f>
        <v>0</v>
      </c>
      <c r="M27" s="66">
        <f>SUM(M14:M20)-M21</f>
        <v>0</v>
      </c>
      <c r="O27" s="66">
        <f>SUM(O14:O20)-O21</f>
        <v>0</v>
      </c>
      <c r="Q27" s="66">
        <f>SUM(Q14:Q20)-Q21</f>
        <v>0</v>
      </c>
      <c r="S27" s="66">
        <f>SUM(S14:S20)-S21</f>
        <v>0</v>
      </c>
      <c r="U27" s="66">
        <f>SUM(U14:U20)-U21</f>
        <v>0</v>
      </c>
      <c r="W27" s="66">
        <f>SUM(W14:W20)-W21</f>
        <v>0</v>
      </c>
    </row>
    <row r="28" spans="1:24" s="66" customFormat="1" hidden="1" outlineLevel="1" x14ac:dyDescent="0.25"/>
    <row r="29" spans="1:24" s="66" customFormat="1" ht="17.25" hidden="1" outlineLevel="1" x14ac:dyDescent="0.4">
      <c r="B29" s="547" t="s">
        <v>191</v>
      </c>
    </row>
    <row r="30" spans="1:24" s="66" customFormat="1" hidden="1" outlineLevel="1" x14ac:dyDescent="0.25">
      <c r="B30" s="66" t="s">
        <v>24</v>
      </c>
      <c r="E30" s="66">
        <f>E7-'5.11 Tactical'!M29</f>
        <v>-0.3779999999460415</v>
      </c>
      <c r="G30" s="66">
        <f>G7-'BOA Technology'!M29</f>
        <v>6.2999999994644895E-2</v>
      </c>
      <c r="I30" s="66">
        <f>I7-Lugano!K29</f>
        <v>-0.39199999999254942</v>
      </c>
      <c r="K30" s="66">
        <f>K7-PrimaLoft!M29</f>
        <v>0.12199999998847488</v>
      </c>
      <c r="M30" s="66">
        <f>M7-THP!M29</f>
        <v>-4.9000000008163624E-2</v>
      </c>
      <c r="O30" s="66">
        <f>O7-'Velocity Outdoor'!M29</f>
        <v>0.27499999999326974</v>
      </c>
      <c r="Q30" s="66">
        <f>Q7-'Altor Solutions'!M30</f>
        <v>-0.30600000000413274</v>
      </c>
      <c r="S30" s="66">
        <f>S7-'Arnold Magnetic'!M29</f>
        <v>-0.41499999999177817</v>
      </c>
      <c r="U30" s="66">
        <f>U7-'Sterno Group'!M30</f>
        <v>-0.41399999998975545</v>
      </c>
    </row>
    <row r="31" spans="1:24" s="66" customFormat="1" hidden="1" outlineLevel="1" x14ac:dyDescent="0.25">
      <c r="B31" s="66" t="s">
        <v>57</v>
      </c>
      <c r="E31" s="66">
        <f>E14-'5.11 Tactical'!M36</f>
        <v>0.26500000005762558</v>
      </c>
      <c r="G31" s="66">
        <f>G14-'BOA Technology'!M36</f>
        <v>-0.1889999999984866</v>
      </c>
      <c r="I31" s="66">
        <f>I14-Lugano!K36</f>
        <v>0.10700000001816079</v>
      </c>
      <c r="K31" s="66">
        <f>K14-PrimaLoft!M36-1</f>
        <v>-0.43800000000919681</v>
      </c>
      <c r="M31" s="66">
        <f>M14-THP!M36-1</f>
        <v>-0.46900000000823638</v>
      </c>
      <c r="O31" s="66">
        <f>O14-'Velocity Outdoor'!M36-1</f>
        <v>-0.49700000000757427</v>
      </c>
      <c r="Q31" s="66">
        <f>Q14-'Altor Solutions'!M37+1</f>
        <v>0.24399999999877764</v>
      </c>
      <c r="S31" s="66">
        <f>S14-'Arnold Magnetic'!M36</f>
        <v>0.31100000000878936</v>
      </c>
      <c r="U31" s="66">
        <f>U14-'Sterno Group'!M37+1</f>
        <v>-0.10799999999289867</v>
      </c>
    </row>
    <row r="32" spans="1:24" s="66" customFormat="1" hidden="1" outlineLevel="1" x14ac:dyDescent="0.25">
      <c r="B32" s="66" t="s">
        <v>65</v>
      </c>
      <c r="E32" s="66">
        <f>E21-'5.11 Tactical'!M44-1</f>
        <v>-0.49199999994016252</v>
      </c>
      <c r="G32" s="66">
        <f>G21-'BOA Technology'!M44+1</f>
        <v>0.48799999999755528</v>
      </c>
      <c r="I32" s="66">
        <f>I21-Lugano!K44</f>
        <v>-1.1999999980616849E-2</v>
      </c>
      <c r="K32" s="66">
        <f>K21-PrimaLoft!M44-1</f>
        <v>-0.37834000001021195</v>
      </c>
      <c r="M32" s="66">
        <f>M21-THP!M44</f>
        <v>7.2999999989406206E-2</v>
      </c>
      <c r="O32" s="66">
        <f>O21-'Velocity Outdoor'!M44</f>
        <v>0.4589999999925567</v>
      </c>
      <c r="Q32" s="66">
        <f>Q21-'Altor Solutions'!M45+1</f>
        <v>0.42399999999906868</v>
      </c>
      <c r="S32" s="66">
        <f>S21-'Arnold Magnetic'!M44</f>
        <v>2.0000000076834112E-3</v>
      </c>
      <c r="U32" s="66">
        <f>U21-'Sterno Group'!M45+1</f>
        <v>0.33300000000599539</v>
      </c>
    </row>
    <row r="33" collapsed="1" x14ac:dyDescent="0.25"/>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A0512-B8E1-4B7C-9A62-92706E77B23E}">
  <dimension ref="A1:X32"/>
  <sheetViews>
    <sheetView workbookViewId="0">
      <selection activeCell="A3" sqref="A3"/>
    </sheetView>
  </sheetViews>
  <sheetFormatPr defaultColWidth="9.140625" defaultRowHeight="15" outlineLevelRow="1" x14ac:dyDescent="0.25"/>
  <cols>
    <col min="1" max="1" width="9.140625" style="4"/>
    <col min="2" max="2" width="48.140625" style="4" bestFit="1" customWidth="1"/>
    <col min="3" max="3" width="14" style="259" customWidth="1"/>
    <col min="4" max="4" width="2" style="259" customWidth="1"/>
    <col min="5" max="5" width="11.5703125" style="259" customWidth="1"/>
    <col min="6" max="6" width="1.28515625" style="259" customWidth="1"/>
    <col min="7" max="7" width="11.5703125" style="259" customWidth="1"/>
    <col min="8" max="8" width="1.42578125" style="259" customWidth="1"/>
    <col min="9" max="9" width="14" style="259" customWidth="1"/>
    <col min="10" max="10" width="1.28515625" style="259" customWidth="1"/>
    <col min="11" max="11" width="11.42578125" style="259" customWidth="1"/>
    <col min="12" max="12" width="1.7109375" style="259" customWidth="1"/>
    <col min="13" max="13" width="11.42578125" style="259" customWidth="1"/>
    <col min="14" max="14" width="2.7109375" style="259" customWidth="1"/>
    <col min="15" max="15" width="11.28515625" style="259" customWidth="1"/>
    <col min="16" max="16" width="0.7109375" style="259" customWidth="1"/>
    <col min="17" max="17" width="11.28515625" style="259" customWidth="1"/>
    <col min="18" max="18" width="1.140625" style="259" customWidth="1"/>
    <col min="19" max="19" width="10.28515625" style="259" customWidth="1"/>
    <col min="20" max="20" width="1.28515625" style="259" customWidth="1"/>
    <col min="21" max="21" width="12.42578125" style="259" bestFit="1" customWidth="1"/>
    <col min="22" max="22" width="2.140625" style="259" customWidth="1"/>
    <col min="23" max="23" width="12.5703125" style="259" bestFit="1" customWidth="1"/>
    <col min="24" max="24" width="9.5703125" style="4" bestFit="1" customWidth="1"/>
    <col min="25" max="16384" width="9.140625" style="4"/>
  </cols>
  <sheetData>
    <row r="1" spans="1:24" x14ac:dyDescent="0.25">
      <c r="A1" s="12" t="s">
        <v>0</v>
      </c>
      <c r="B1" s="6"/>
      <c r="C1" s="258"/>
      <c r="D1" s="258"/>
      <c r="E1" s="258"/>
      <c r="F1" s="258"/>
      <c r="G1" s="258"/>
      <c r="H1" s="258"/>
      <c r="I1" s="258"/>
      <c r="J1" s="258"/>
      <c r="K1" s="258"/>
      <c r="L1" s="258"/>
      <c r="M1" s="258"/>
      <c r="N1" s="258"/>
      <c r="O1" s="258"/>
      <c r="P1" s="258"/>
      <c r="Q1" s="258"/>
      <c r="R1" s="258"/>
      <c r="S1" s="258"/>
      <c r="T1" s="258"/>
      <c r="U1" s="258"/>
      <c r="V1" s="258"/>
      <c r="W1" s="258"/>
      <c r="X1" s="6"/>
    </row>
    <row r="2" spans="1:24" x14ac:dyDescent="0.25">
      <c r="A2" s="12" t="s">
        <v>269</v>
      </c>
      <c r="B2" s="12"/>
      <c r="C2" s="420"/>
      <c r="D2" s="420"/>
      <c r="E2" s="420"/>
      <c r="F2" s="420"/>
      <c r="G2" s="420"/>
      <c r="H2" s="420"/>
      <c r="I2" s="420"/>
      <c r="J2" s="420"/>
      <c r="K2" s="420"/>
      <c r="L2" s="420"/>
      <c r="M2" s="420"/>
      <c r="N2" s="420"/>
      <c r="O2" s="420"/>
      <c r="P2" s="420"/>
      <c r="Q2" s="420"/>
      <c r="R2" s="420"/>
      <c r="S2" s="420"/>
      <c r="T2" s="420"/>
      <c r="U2" s="420"/>
      <c r="V2" s="420"/>
      <c r="W2" s="420"/>
      <c r="X2" s="274"/>
    </row>
    <row r="3" spans="1:24" x14ac:dyDescent="0.25">
      <c r="A3" s="538"/>
      <c r="B3" s="553"/>
      <c r="C3" s="420"/>
      <c r="D3" s="420"/>
      <c r="E3" s="420"/>
      <c r="F3" s="420"/>
      <c r="G3" s="420"/>
      <c r="H3" s="420"/>
      <c r="I3" s="420"/>
      <c r="J3" s="420"/>
      <c r="K3" s="420"/>
      <c r="L3" s="420"/>
      <c r="M3" s="420"/>
      <c r="N3" s="420"/>
      <c r="O3" s="420"/>
      <c r="P3" s="420"/>
      <c r="Q3" s="420"/>
      <c r="R3" s="420"/>
      <c r="S3" s="420"/>
      <c r="T3" s="420"/>
      <c r="U3" s="420"/>
      <c r="V3" s="420"/>
      <c r="W3" s="420"/>
      <c r="X3" s="274"/>
    </row>
    <row r="4" spans="1:24" x14ac:dyDescent="0.25">
      <c r="A4" s="6"/>
      <c r="B4" s="6"/>
      <c r="C4" s="258"/>
      <c r="D4" s="258"/>
      <c r="E4" s="258"/>
      <c r="F4" s="258"/>
      <c r="G4" s="258"/>
      <c r="H4" s="258"/>
      <c r="I4" s="258"/>
      <c r="J4" s="258"/>
      <c r="K4" s="258"/>
      <c r="L4" s="258"/>
      <c r="M4" s="258"/>
      <c r="N4" s="258"/>
      <c r="O4" s="258"/>
      <c r="P4" s="258"/>
      <c r="Q4" s="258"/>
      <c r="R4" s="258"/>
      <c r="S4" s="258"/>
      <c r="T4" s="258"/>
      <c r="U4" s="258"/>
      <c r="V4" s="258"/>
      <c r="W4" s="258"/>
      <c r="X4" s="6"/>
    </row>
    <row r="5" spans="1:24" x14ac:dyDescent="0.25">
      <c r="A5" s="6"/>
      <c r="B5" s="6"/>
      <c r="C5" s="258"/>
      <c r="D5" s="258"/>
      <c r="E5" s="258"/>
      <c r="F5" s="258"/>
      <c r="G5" s="258"/>
      <c r="H5" s="258"/>
      <c r="I5" s="258"/>
      <c r="J5" s="258"/>
      <c r="K5" s="258"/>
      <c r="L5" s="258"/>
      <c r="M5" s="258"/>
      <c r="N5" s="258"/>
      <c r="O5" s="258"/>
      <c r="P5" s="258"/>
      <c r="Q5" s="258"/>
      <c r="R5" s="258"/>
      <c r="S5" s="258"/>
      <c r="T5" s="258"/>
      <c r="U5" s="258"/>
      <c r="V5" s="258"/>
      <c r="W5" s="258"/>
      <c r="X5" s="6"/>
    </row>
    <row r="6" spans="1:24" ht="29.25" customHeight="1" x14ac:dyDescent="0.25">
      <c r="A6" s="6"/>
      <c r="B6" s="6"/>
      <c r="C6" s="199" t="s">
        <v>90</v>
      </c>
      <c r="D6" s="199"/>
      <c r="E6" s="257" t="s">
        <v>91</v>
      </c>
      <c r="F6" s="257"/>
      <c r="G6" s="257" t="s">
        <v>174</v>
      </c>
      <c r="H6" s="257"/>
      <c r="I6" s="257" t="s">
        <v>187</v>
      </c>
      <c r="J6" s="257"/>
      <c r="K6" s="257" t="s">
        <v>193</v>
      </c>
      <c r="L6" s="257"/>
      <c r="M6" s="257" t="s">
        <v>243</v>
      </c>
      <c r="N6" s="257"/>
      <c r="O6" s="422" t="s">
        <v>159</v>
      </c>
      <c r="P6" s="422"/>
      <c r="Q6" s="257" t="s">
        <v>182</v>
      </c>
      <c r="R6" s="257"/>
      <c r="S6" s="257" t="s">
        <v>92</v>
      </c>
      <c r="T6" s="257"/>
      <c r="U6" s="257" t="s">
        <v>93</v>
      </c>
      <c r="V6" s="257"/>
      <c r="W6" s="257" t="s">
        <v>94</v>
      </c>
      <c r="X6" s="6"/>
    </row>
    <row r="7" spans="1:24" s="14" customFormat="1" x14ac:dyDescent="0.25">
      <c r="A7" s="6"/>
      <c r="B7" s="12" t="s">
        <v>194</v>
      </c>
      <c r="C7" s="534">
        <v>-35634</v>
      </c>
      <c r="D7" s="534"/>
      <c r="E7" s="534">
        <v>20634</v>
      </c>
      <c r="F7" s="534"/>
      <c r="G7" s="534">
        <v>20791</v>
      </c>
      <c r="H7" s="534"/>
      <c r="I7" s="534">
        <v>-275730</v>
      </c>
      <c r="J7" s="534"/>
      <c r="K7" s="534">
        <v>-10575</v>
      </c>
      <c r="L7" s="534"/>
      <c r="M7" s="534">
        <v>-9761</v>
      </c>
      <c r="N7" s="534"/>
      <c r="O7" s="534">
        <v>-54851</v>
      </c>
      <c r="P7" s="534"/>
      <c r="Q7" s="534">
        <v>5635</v>
      </c>
      <c r="R7" s="534"/>
      <c r="S7" s="534">
        <v>-2969</v>
      </c>
      <c r="T7" s="534"/>
      <c r="U7" s="534">
        <v>14638</v>
      </c>
      <c r="V7" s="534"/>
      <c r="W7" s="534">
        <f>SUM(C7:U7)</f>
        <v>-327822</v>
      </c>
      <c r="X7" s="26"/>
    </row>
    <row r="8" spans="1:24" x14ac:dyDescent="0.25">
      <c r="A8" s="6"/>
      <c r="B8" s="6" t="s">
        <v>54</v>
      </c>
      <c r="C8" s="533"/>
      <c r="D8" s="533"/>
      <c r="E8" s="533"/>
      <c r="F8" s="533"/>
      <c r="G8" s="533"/>
      <c r="H8" s="533"/>
      <c r="I8" s="533"/>
      <c r="J8" s="533"/>
      <c r="K8" s="533"/>
      <c r="L8" s="533"/>
      <c r="M8" s="533"/>
      <c r="N8" s="533"/>
      <c r="O8" s="533"/>
      <c r="P8" s="533"/>
      <c r="Q8" s="533"/>
      <c r="R8" s="533"/>
      <c r="S8" s="533"/>
      <c r="T8" s="533"/>
      <c r="U8" s="533"/>
      <c r="V8" s="533"/>
      <c r="W8" s="533"/>
      <c r="X8" s="26"/>
    </row>
    <row r="9" spans="1:24" x14ac:dyDescent="0.25">
      <c r="A9" s="6"/>
      <c r="B9" s="6" t="s">
        <v>21</v>
      </c>
      <c r="C9" s="535">
        <v>-2095</v>
      </c>
      <c r="D9" s="535"/>
      <c r="E9" s="535">
        <v>4526</v>
      </c>
      <c r="F9" s="535"/>
      <c r="G9" s="535">
        <v>4962</v>
      </c>
      <c r="H9" s="535"/>
      <c r="I9" s="535">
        <v>904</v>
      </c>
      <c r="J9" s="535"/>
      <c r="K9" s="535">
        <v>-3741</v>
      </c>
      <c r="L9" s="535"/>
      <c r="M9" s="535">
        <v>-2894</v>
      </c>
      <c r="N9" s="535"/>
      <c r="O9" s="535">
        <v>6810</v>
      </c>
      <c r="P9" s="535"/>
      <c r="Q9" s="535">
        <v>2280</v>
      </c>
      <c r="R9" s="535"/>
      <c r="S9" s="535">
        <v>2986</v>
      </c>
      <c r="T9" s="535"/>
      <c r="U9" s="535">
        <v>4874</v>
      </c>
      <c r="V9" s="535"/>
      <c r="W9" s="535">
        <f>SUM(C9:U9)</f>
        <v>18612</v>
      </c>
      <c r="X9" s="26"/>
    </row>
    <row r="10" spans="1:24" x14ac:dyDescent="0.25">
      <c r="A10" s="6"/>
      <c r="B10" s="6" t="s">
        <v>195</v>
      </c>
      <c r="C10" s="535">
        <v>106414</v>
      </c>
      <c r="D10" s="535"/>
      <c r="E10" s="535">
        <v>-14</v>
      </c>
      <c r="F10" s="535"/>
      <c r="G10" s="535">
        <v>-21</v>
      </c>
      <c r="H10" s="535"/>
      <c r="I10" s="535">
        <v>16122</v>
      </c>
      <c r="J10" s="535"/>
      <c r="K10" s="535">
        <v>-70</v>
      </c>
      <c r="L10" s="535"/>
      <c r="M10" s="535">
        <v>-52</v>
      </c>
      <c r="N10" s="535"/>
      <c r="O10" s="535">
        <v>52</v>
      </c>
      <c r="P10" s="535"/>
      <c r="Q10" s="535" t="s">
        <v>247</v>
      </c>
      <c r="R10" s="535"/>
      <c r="S10" s="535">
        <v>371</v>
      </c>
      <c r="T10" s="535"/>
      <c r="U10" s="535" t="s">
        <v>247</v>
      </c>
      <c r="V10" s="535"/>
      <c r="W10" s="535">
        <f>SUM(C10:U10)</f>
        <v>122802</v>
      </c>
      <c r="X10" s="26"/>
    </row>
    <row r="11" spans="1:24" x14ac:dyDescent="0.25">
      <c r="A11" s="6"/>
      <c r="B11" s="6" t="s">
        <v>95</v>
      </c>
      <c r="C11" s="535">
        <v>-157585</v>
      </c>
      <c r="D11" s="535"/>
      <c r="E11" s="535">
        <v>13366</v>
      </c>
      <c r="F11" s="535"/>
      <c r="G11" s="535">
        <v>20125</v>
      </c>
      <c r="H11" s="535"/>
      <c r="I11" s="535">
        <v>56013</v>
      </c>
      <c r="J11" s="535"/>
      <c r="K11" s="535">
        <v>17916</v>
      </c>
      <c r="L11" s="535"/>
      <c r="M11" s="535">
        <v>10552</v>
      </c>
      <c r="N11" s="535"/>
      <c r="O11" s="535">
        <v>9255</v>
      </c>
      <c r="P11" s="535"/>
      <c r="Q11" s="535">
        <v>10771</v>
      </c>
      <c r="R11" s="535"/>
      <c r="S11" s="535">
        <v>7121</v>
      </c>
      <c r="T11" s="535"/>
      <c r="U11" s="535">
        <v>12466</v>
      </c>
      <c r="V11" s="535"/>
      <c r="W11" s="535">
        <f>SUM(C11:U11)</f>
        <v>0</v>
      </c>
      <c r="X11" s="26"/>
    </row>
    <row r="12" spans="1:24" s="14" customFormat="1" x14ac:dyDescent="0.25">
      <c r="A12" s="12"/>
      <c r="B12" s="6" t="s">
        <v>96</v>
      </c>
      <c r="C12" s="536">
        <v>675</v>
      </c>
      <c r="D12" s="536"/>
      <c r="E12" s="536">
        <v>22734</v>
      </c>
      <c r="F12" s="536"/>
      <c r="G12" s="536">
        <v>21594</v>
      </c>
      <c r="H12" s="536"/>
      <c r="I12" s="536">
        <v>5391</v>
      </c>
      <c r="J12" s="536"/>
      <c r="K12" s="536">
        <v>21318</v>
      </c>
      <c r="L12" s="536"/>
      <c r="M12" s="536">
        <v>18974</v>
      </c>
      <c r="N12" s="536"/>
      <c r="O12" s="536">
        <v>8042</v>
      </c>
      <c r="P12" s="536"/>
      <c r="Q12" s="536">
        <v>21553</v>
      </c>
      <c r="R12" s="536"/>
      <c r="S12" s="536">
        <v>9265</v>
      </c>
      <c r="T12" s="536"/>
      <c r="U12" s="536">
        <v>18473</v>
      </c>
      <c r="V12" s="536"/>
      <c r="W12" s="536">
        <f>SUM(C12:U12)</f>
        <v>148019</v>
      </c>
      <c r="X12" s="26"/>
    </row>
    <row r="13" spans="1:24" s="14" customFormat="1" x14ac:dyDescent="0.25">
      <c r="A13" s="12"/>
      <c r="B13" s="12" t="s">
        <v>57</v>
      </c>
      <c r="C13" s="535">
        <f>SUM(C7:C12)</f>
        <v>-88225</v>
      </c>
      <c r="D13" s="535"/>
      <c r="E13" s="535">
        <f t="shared" ref="E13:W13" si="0">SUM(E7:E12)</f>
        <v>61246</v>
      </c>
      <c r="F13" s="535"/>
      <c r="G13" s="535">
        <f t="shared" si="0"/>
        <v>67451</v>
      </c>
      <c r="H13" s="535"/>
      <c r="I13" s="535">
        <f t="shared" si="0"/>
        <v>-197300</v>
      </c>
      <c r="J13" s="535"/>
      <c r="K13" s="535">
        <f t="shared" si="0"/>
        <v>24848</v>
      </c>
      <c r="L13" s="535"/>
      <c r="M13" s="535">
        <f t="shared" si="0"/>
        <v>16819</v>
      </c>
      <c r="N13" s="535"/>
      <c r="O13" s="535">
        <f t="shared" si="0"/>
        <v>-30692</v>
      </c>
      <c r="P13" s="535"/>
      <c r="Q13" s="535">
        <f t="shared" si="0"/>
        <v>40239</v>
      </c>
      <c r="R13" s="535"/>
      <c r="S13" s="535">
        <f t="shared" si="0"/>
        <v>16774</v>
      </c>
      <c r="T13" s="535"/>
      <c r="U13" s="535">
        <f t="shared" si="0"/>
        <v>50451</v>
      </c>
      <c r="V13" s="535"/>
      <c r="W13" s="535">
        <f t="shared" si="0"/>
        <v>-38389</v>
      </c>
      <c r="X13" s="26"/>
    </row>
    <row r="14" spans="1:24" s="14" customFormat="1" x14ac:dyDescent="0.25">
      <c r="A14" s="12"/>
      <c r="B14" s="6" t="s">
        <v>163</v>
      </c>
      <c r="C14" s="535">
        <v>460</v>
      </c>
      <c r="D14" s="535"/>
      <c r="E14" s="535">
        <v>40</v>
      </c>
      <c r="F14" s="535"/>
      <c r="G14" s="535">
        <v>511</v>
      </c>
      <c r="H14" s="535"/>
      <c r="I14" s="535">
        <v>139623</v>
      </c>
      <c r="J14" s="535"/>
      <c r="K14" s="535">
        <v>181</v>
      </c>
      <c r="L14" s="535"/>
      <c r="M14" s="535">
        <v>3</v>
      </c>
      <c r="N14" s="535"/>
      <c r="O14" s="535">
        <v>24557</v>
      </c>
      <c r="P14" s="535"/>
      <c r="Q14" s="535">
        <v>2746</v>
      </c>
      <c r="R14" s="535"/>
      <c r="S14" s="535">
        <v>-9</v>
      </c>
      <c r="T14" s="535"/>
      <c r="U14" s="535">
        <v>-590</v>
      </c>
      <c r="V14" s="535"/>
      <c r="W14" s="535">
        <f t="shared" ref="W14:W20" si="1">SUM(C14:U14)</f>
        <v>167522</v>
      </c>
      <c r="X14" s="26"/>
    </row>
    <row r="15" spans="1:24" x14ac:dyDescent="0.25">
      <c r="A15" s="6"/>
      <c r="B15" s="6" t="s">
        <v>59</v>
      </c>
      <c r="C15" s="535" t="s">
        <v>245</v>
      </c>
      <c r="D15" s="535"/>
      <c r="E15" s="535">
        <v>2129</v>
      </c>
      <c r="F15" s="535"/>
      <c r="G15" s="535">
        <v>5683</v>
      </c>
      <c r="H15" s="535"/>
      <c r="I15" s="535">
        <v>2437</v>
      </c>
      <c r="J15" s="535"/>
      <c r="K15" s="535">
        <v>2382</v>
      </c>
      <c r="L15" s="535"/>
      <c r="M15" s="535">
        <v>1674</v>
      </c>
      <c r="N15" s="535"/>
      <c r="O15" s="535">
        <v>403</v>
      </c>
      <c r="P15" s="535"/>
      <c r="Q15" s="535">
        <v>988</v>
      </c>
      <c r="R15" s="535"/>
      <c r="S15" s="535">
        <v>18</v>
      </c>
      <c r="T15" s="535"/>
      <c r="U15" s="535">
        <v>631</v>
      </c>
      <c r="V15" s="535"/>
      <c r="W15" s="535">
        <f t="shared" si="1"/>
        <v>16345</v>
      </c>
      <c r="X15" s="26"/>
    </row>
    <row r="16" spans="1:24" x14ac:dyDescent="0.25">
      <c r="A16" s="6"/>
      <c r="B16" s="6" t="s">
        <v>71</v>
      </c>
      <c r="C16" s="535" t="s">
        <v>245</v>
      </c>
      <c r="D16" s="535"/>
      <c r="E16" s="535" t="s">
        <v>248</v>
      </c>
      <c r="F16" s="535"/>
      <c r="G16" s="535" t="s">
        <v>248</v>
      </c>
      <c r="H16" s="535"/>
      <c r="I16" s="535" t="s">
        <v>247</v>
      </c>
      <c r="J16" s="535"/>
      <c r="K16" s="535" t="s">
        <v>247</v>
      </c>
      <c r="L16" s="535"/>
      <c r="M16" s="535" t="s">
        <v>249</v>
      </c>
      <c r="N16" s="535"/>
      <c r="O16" s="535">
        <v>8182</v>
      </c>
      <c r="P16" s="535"/>
      <c r="Q16" s="535" t="s">
        <v>247</v>
      </c>
      <c r="R16" s="535"/>
      <c r="S16" s="535" t="s">
        <v>246</v>
      </c>
      <c r="T16" s="535"/>
      <c r="U16" s="535" t="s">
        <v>247</v>
      </c>
      <c r="V16" s="535"/>
      <c r="W16" s="535">
        <f t="shared" si="1"/>
        <v>8182</v>
      </c>
      <c r="X16" s="26"/>
    </row>
    <row r="17" spans="1:24" x14ac:dyDescent="0.25">
      <c r="A17" s="6"/>
      <c r="B17" s="6" t="s">
        <v>98</v>
      </c>
      <c r="C17" s="535" t="s">
        <v>245</v>
      </c>
      <c r="D17" s="535"/>
      <c r="E17" s="535" t="s">
        <v>248</v>
      </c>
      <c r="F17" s="535"/>
      <c r="G17" s="535" t="s">
        <v>248</v>
      </c>
      <c r="H17" s="535"/>
      <c r="I17" s="535" t="s">
        <v>247</v>
      </c>
      <c r="J17" s="535"/>
      <c r="K17" s="535" t="s">
        <v>247</v>
      </c>
      <c r="L17" s="535"/>
      <c r="M17" s="535">
        <v>3479</v>
      </c>
      <c r="N17" s="535"/>
      <c r="O17" s="535" t="s">
        <v>247</v>
      </c>
      <c r="P17" s="535"/>
      <c r="Q17" s="535">
        <v>1872</v>
      </c>
      <c r="R17" s="535"/>
      <c r="S17" s="535" t="s">
        <v>246</v>
      </c>
      <c r="T17" s="535"/>
      <c r="U17" s="535" t="s">
        <v>247</v>
      </c>
      <c r="V17" s="535"/>
      <c r="W17" s="535">
        <f t="shared" si="1"/>
        <v>5351</v>
      </c>
      <c r="X17" s="26"/>
    </row>
    <row r="18" spans="1:24" x14ac:dyDescent="0.25">
      <c r="A18" s="6"/>
      <c r="B18" s="6" t="s">
        <v>157</v>
      </c>
      <c r="C18" s="535" t="s">
        <v>245</v>
      </c>
      <c r="D18" s="535"/>
      <c r="E18" s="535" t="s">
        <v>248</v>
      </c>
      <c r="F18" s="535"/>
      <c r="G18" s="535" t="s">
        <v>248</v>
      </c>
      <c r="H18" s="535"/>
      <c r="I18" s="535" t="s">
        <v>247</v>
      </c>
      <c r="J18" s="535"/>
      <c r="K18" s="535" t="s">
        <v>247</v>
      </c>
      <c r="L18" s="535"/>
      <c r="M18" s="535">
        <v>2625</v>
      </c>
      <c r="N18" s="535"/>
      <c r="O18" s="535" t="s">
        <v>247</v>
      </c>
      <c r="P18" s="535"/>
      <c r="Q18" s="535" t="s">
        <v>247</v>
      </c>
      <c r="R18" s="535"/>
      <c r="S18" s="535" t="s">
        <v>246</v>
      </c>
      <c r="T18" s="535"/>
      <c r="U18" s="535" t="s">
        <v>247</v>
      </c>
      <c r="V18" s="535"/>
      <c r="W18" s="535">
        <f t="shared" si="1"/>
        <v>2625</v>
      </c>
      <c r="X18" s="26"/>
    </row>
    <row r="19" spans="1:24" x14ac:dyDescent="0.25">
      <c r="A19" s="6"/>
      <c r="B19" s="6" t="s">
        <v>34</v>
      </c>
      <c r="C19" s="540" t="s">
        <v>245</v>
      </c>
      <c r="D19" s="540"/>
      <c r="E19" s="540" t="s">
        <v>248</v>
      </c>
      <c r="F19" s="540"/>
      <c r="G19" s="540" t="s">
        <v>248</v>
      </c>
      <c r="H19" s="540"/>
      <c r="I19" s="540" t="s">
        <v>247</v>
      </c>
      <c r="J19" s="540"/>
      <c r="K19" s="540" t="s">
        <v>247</v>
      </c>
      <c r="L19" s="540"/>
      <c r="M19" s="540">
        <v>90</v>
      </c>
      <c r="N19" s="540"/>
      <c r="O19" s="540">
        <v>1500</v>
      </c>
      <c r="P19" s="540"/>
      <c r="Q19" s="540">
        <v>696</v>
      </c>
      <c r="R19" s="540"/>
      <c r="S19" s="540">
        <v>10426</v>
      </c>
      <c r="T19" s="540"/>
      <c r="U19" s="540">
        <v>476</v>
      </c>
      <c r="V19" s="540"/>
      <c r="W19" s="540">
        <f t="shared" si="1"/>
        <v>13188</v>
      </c>
      <c r="X19" s="26"/>
    </row>
    <row r="20" spans="1:24" s="14" customFormat="1" ht="15.75" thickBot="1" x14ac:dyDescent="0.3">
      <c r="A20" s="12"/>
      <c r="B20" s="12" t="s">
        <v>65</v>
      </c>
      <c r="C20" s="242">
        <f>(SUM(C13:C19))</f>
        <v>-87765</v>
      </c>
      <c r="D20" s="242">
        <v>0</v>
      </c>
      <c r="E20" s="242">
        <f>(SUM(E13:E19))</f>
        <v>63415</v>
      </c>
      <c r="F20" s="242">
        <f>(SUM(F13:F19))</f>
        <v>0</v>
      </c>
      <c r="G20" s="242">
        <f>(SUM(G13:G19))</f>
        <v>73645</v>
      </c>
      <c r="H20" s="242">
        <f t="shared" ref="H20:V20" si="2">(SUM(H13:H19))</f>
        <v>0</v>
      </c>
      <c r="I20" s="242">
        <f t="shared" si="2"/>
        <v>-55240</v>
      </c>
      <c r="J20" s="242">
        <f t="shared" si="2"/>
        <v>0</v>
      </c>
      <c r="K20" s="242">
        <f t="shared" si="2"/>
        <v>27411</v>
      </c>
      <c r="L20" s="242">
        <f t="shared" si="2"/>
        <v>0</v>
      </c>
      <c r="M20" s="242">
        <f t="shared" si="2"/>
        <v>24690</v>
      </c>
      <c r="N20" s="242"/>
      <c r="O20" s="242">
        <f t="shared" si="2"/>
        <v>3950</v>
      </c>
      <c r="P20" s="242">
        <f t="shared" si="2"/>
        <v>0</v>
      </c>
      <c r="Q20" s="242">
        <f t="shared" si="2"/>
        <v>46541</v>
      </c>
      <c r="R20" s="242">
        <f t="shared" si="2"/>
        <v>0</v>
      </c>
      <c r="S20" s="242">
        <f t="shared" si="2"/>
        <v>27209</v>
      </c>
      <c r="T20" s="242">
        <f t="shared" si="2"/>
        <v>0</v>
      </c>
      <c r="U20" s="242">
        <f t="shared" si="2"/>
        <v>50968</v>
      </c>
      <c r="V20" s="242">
        <f t="shared" si="2"/>
        <v>0</v>
      </c>
      <c r="W20" s="242">
        <f t="shared" si="1"/>
        <v>174824</v>
      </c>
      <c r="X20" s="26"/>
    </row>
    <row r="21" spans="1:24" ht="15.75" thickTop="1" x14ac:dyDescent="0.25">
      <c r="A21" s="6"/>
      <c r="B21" s="6"/>
      <c r="C21" s="258"/>
      <c r="D21" s="258"/>
      <c r="E21" s="22"/>
      <c r="F21" s="22"/>
      <c r="G21" s="22"/>
      <c r="H21" s="22"/>
      <c r="I21" s="22"/>
      <c r="J21" s="22"/>
      <c r="K21" s="22"/>
      <c r="L21" s="22"/>
      <c r="M21" s="22"/>
      <c r="N21" s="22"/>
      <c r="O21" s="22"/>
      <c r="P21" s="22"/>
      <c r="Q21" s="22"/>
      <c r="R21" s="22"/>
      <c r="S21" s="22"/>
      <c r="T21" s="22"/>
      <c r="U21" s="22"/>
      <c r="V21" s="22"/>
      <c r="W21" s="22"/>
      <c r="X21" s="6"/>
    </row>
    <row r="22" spans="1:24" x14ac:dyDescent="0.25">
      <c r="A22" s="6"/>
      <c r="B22" s="597"/>
      <c r="C22" s="597"/>
      <c r="D22" s="597"/>
      <c r="E22" s="597"/>
      <c r="F22" s="597"/>
      <c r="G22" s="597"/>
      <c r="H22" s="597"/>
      <c r="I22" s="597"/>
      <c r="J22" s="597"/>
      <c r="K22" s="597"/>
      <c r="L22" s="597"/>
      <c r="M22" s="597"/>
      <c r="N22" s="597"/>
      <c r="O22" s="597"/>
      <c r="P22" s="597"/>
      <c r="Q22" s="597"/>
      <c r="R22" s="597"/>
      <c r="S22" s="597"/>
      <c r="T22" s="597"/>
      <c r="U22" s="597"/>
      <c r="V22" s="597"/>
      <c r="W22" s="597"/>
      <c r="X22" s="6"/>
    </row>
    <row r="23" spans="1:24" x14ac:dyDescent="0.25">
      <c r="A23" s="6"/>
      <c r="B23" s="597"/>
      <c r="C23" s="597"/>
      <c r="D23" s="597"/>
      <c r="E23" s="597"/>
      <c r="F23" s="597"/>
      <c r="G23" s="597"/>
      <c r="H23" s="597"/>
      <c r="I23" s="597"/>
      <c r="J23" s="597"/>
      <c r="K23" s="597"/>
      <c r="L23" s="597"/>
      <c r="M23" s="597"/>
      <c r="N23" s="597"/>
      <c r="O23" s="597"/>
      <c r="P23" s="597"/>
      <c r="Q23" s="597"/>
      <c r="R23" s="597"/>
      <c r="S23" s="597"/>
      <c r="T23" s="597"/>
      <c r="U23" s="597"/>
      <c r="V23" s="597"/>
      <c r="W23" s="597"/>
      <c r="X23" s="6"/>
    </row>
    <row r="24" spans="1:24" hidden="1" outlineLevel="1" x14ac:dyDescent="0.25">
      <c r="B24" s="548" t="s">
        <v>200</v>
      </c>
      <c r="C24" s="4"/>
      <c r="D24" s="4"/>
      <c r="E24" s="4"/>
      <c r="F24" s="4"/>
      <c r="G24" s="4"/>
      <c r="H24" s="4"/>
      <c r="I24" s="4"/>
      <c r="J24" s="4"/>
      <c r="K24" s="4"/>
      <c r="L24" s="4"/>
      <c r="M24" s="4"/>
      <c r="N24" s="4"/>
      <c r="O24" s="4"/>
      <c r="P24" s="4"/>
      <c r="Q24" s="4"/>
      <c r="R24" s="4"/>
      <c r="S24" s="4"/>
      <c r="T24" s="4"/>
      <c r="U24" s="4"/>
      <c r="V24" s="4"/>
      <c r="W24" s="4"/>
    </row>
    <row r="25" spans="1:24" s="66" customFormat="1" hidden="1" outlineLevel="1" x14ac:dyDescent="0.25">
      <c r="B25" s="66" t="s">
        <v>57</v>
      </c>
      <c r="C25" s="66">
        <f>SUM(C7:C12)-C13</f>
        <v>0</v>
      </c>
      <c r="E25" s="66">
        <f>SUM(E7:E12)-E13</f>
        <v>0</v>
      </c>
      <c r="G25" s="66">
        <f>SUM(G7:G12)-G13</f>
        <v>0</v>
      </c>
      <c r="I25" s="66">
        <f>SUM(I7:I12)-I13</f>
        <v>0</v>
      </c>
      <c r="K25" s="66">
        <f>SUM(K7:K12)-K13</f>
        <v>0</v>
      </c>
      <c r="M25" s="66">
        <f>SUM(M7:M12)-M13</f>
        <v>0</v>
      </c>
      <c r="O25" s="66">
        <f>SUM(O7:O12)-O13</f>
        <v>0</v>
      </c>
      <c r="Q25" s="66">
        <f>SUM(Q7:Q12)-Q13</f>
        <v>0</v>
      </c>
      <c r="S25" s="66">
        <f>SUM(S7:S12)-S13</f>
        <v>0</v>
      </c>
      <c r="U25" s="66">
        <f>SUM(U7:U12)-U13</f>
        <v>0</v>
      </c>
      <c r="W25" s="66">
        <f>SUM(W7:W12)-W13</f>
        <v>0</v>
      </c>
    </row>
    <row r="26" spans="1:24" s="66" customFormat="1" hidden="1" outlineLevel="1" x14ac:dyDescent="0.25">
      <c r="B26" s="66" t="s">
        <v>65</v>
      </c>
      <c r="C26" s="66">
        <f>SUM(C13:C19)-C20</f>
        <v>0</v>
      </c>
      <c r="E26" s="66">
        <f>SUM(E13:E19)-E20</f>
        <v>0</v>
      </c>
      <c r="G26" s="66">
        <f>SUM(G13:G19)-G20</f>
        <v>0</v>
      </c>
      <c r="I26" s="66">
        <f>SUM(I13:I19)-I20</f>
        <v>0</v>
      </c>
      <c r="K26" s="66">
        <f>SUM(K13:K19)-K20</f>
        <v>0</v>
      </c>
      <c r="M26" s="66">
        <f>SUM(M13:M19)-M20</f>
        <v>0</v>
      </c>
      <c r="O26" s="66">
        <f>SUM(O13:O19)-O20</f>
        <v>0</v>
      </c>
      <c r="Q26" s="66">
        <f>SUM(Q13:Q19)-Q20</f>
        <v>0</v>
      </c>
      <c r="S26" s="66">
        <f>SUM(S13:S19)-S20</f>
        <v>0</v>
      </c>
      <c r="U26" s="66">
        <f>SUM(U13:U19)-U20</f>
        <v>0</v>
      </c>
      <c r="W26" s="66">
        <f>SUM(W13:W19)-W20</f>
        <v>0</v>
      </c>
    </row>
    <row r="27" spans="1:24" s="66" customFormat="1" hidden="1" outlineLevel="1" x14ac:dyDescent="0.25"/>
    <row r="28" spans="1:24" s="66" customFormat="1" ht="17.25" hidden="1" outlineLevel="1" x14ac:dyDescent="0.4">
      <c r="B28" s="547" t="s">
        <v>191</v>
      </c>
    </row>
    <row r="29" spans="1:24" s="66" customFormat="1" hidden="1" outlineLevel="1" x14ac:dyDescent="0.25">
      <c r="B29" s="66" t="s">
        <v>24</v>
      </c>
      <c r="E29" s="66">
        <f>E7-'5.11 Tactical'!U29</f>
        <v>0</v>
      </c>
      <c r="G29" s="66">
        <f>G7-'BOA Technology'!U29</f>
        <v>0</v>
      </c>
      <c r="I29" s="66">
        <f>I7-Lugano!S29</f>
        <v>6.5999999991618097E-2</v>
      </c>
      <c r="K29" s="66">
        <f>K7-PrimaLoft!U29</f>
        <v>0</v>
      </c>
      <c r="M29" s="66">
        <f>M7-THP!U29</f>
        <v>0</v>
      </c>
      <c r="O29" s="66">
        <f>O7-'Velocity Outdoor'!U29</f>
        <v>0</v>
      </c>
      <c r="Q29" s="66">
        <f>Q7-'Altor Solutions'!U30</f>
        <v>0</v>
      </c>
      <c r="S29" s="66">
        <f>S7-'Arnold Magnetic'!U29</f>
        <v>0</v>
      </c>
      <c r="U29" s="66">
        <f>U7-'Sterno Group'!U30</f>
        <v>0</v>
      </c>
    </row>
    <row r="30" spans="1:24" s="66" customFormat="1" hidden="1" outlineLevel="1" x14ac:dyDescent="0.25">
      <c r="B30" s="66" t="s">
        <v>57</v>
      </c>
      <c r="E30" s="66">
        <f>E13-'5.11 Tactical'!U36</f>
        <v>0</v>
      </c>
      <c r="G30" s="66">
        <f>G13-'BOA Technology'!U36</f>
        <v>0</v>
      </c>
      <c r="I30" s="66">
        <f>I13-Lugano!S36</f>
        <v>-0.33999999999650754</v>
      </c>
      <c r="K30" s="66">
        <f>K13-PrimaLoft!U36</f>
        <v>0</v>
      </c>
      <c r="M30" s="66">
        <f>M13-THP!U36</f>
        <v>0</v>
      </c>
      <c r="O30" s="66">
        <f>O13-'Velocity Outdoor'!U36</f>
        <v>0</v>
      </c>
      <c r="Q30" s="66">
        <f>Q13-'Altor Solutions'!U37</f>
        <v>0</v>
      </c>
      <c r="S30" s="66">
        <f>S13-'Arnold Magnetic'!U36</f>
        <v>0</v>
      </c>
      <c r="U30" s="66">
        <f>U13-'Sterno Group'!U37</f>
        <v>0</v>
      </c>
    </row>
    <row r="31" spans="1:24" s="66" customFormat="1" hidden="1" outlineLevel="1" x14ac:dyDescent="0.25">
      <c r="B31" s="66" t="s">
        <v>65</v>
      </c>
      <c r="E31" s="66">
        <f>E20-'5.11 Tactical'!U44</f>
        <v>0</v>
      </c>
      <c r="G31" s="66">
        <f>G20-'BOA Technology'!U44</f>
        <v>0</v>
      </c>
      <c r="I31" s="66">
        <f>I20-Lugano!S44</f>
        <v>-3.8999999989755452E-2</v>
      </c>
      <c r="K31" s="66">
        <f>K20-PrimaLoft!U44</f>
        <v>0</v>
      </c>
      <c r="M31" s="66">
        <f>M20-THP!U44</f>
        <v>0</v>
      </c>
      <c r="O31" s="66">
        <f>O20-'Velocity Outdoor'!U44</f>
        <v>0</v>
      </c>
      <c r="Q31" s="66">
        <f>Q20-'Altor Solutions'!U45</f>
        <v>0</v>
      </c>
      <c r="S31" s="66">
        <f>S20-'Arnold Magnetic'!U44</f>
        <v>0</v>
      </c>
      <c r="U31" s="66">
        <f>U20-'Sterno Group'!U45</f>
        <v>0</v>
      </c>
    </row>
    <row r="32" spans="1:24" collapsed="1" x14ac:dyDescent="0.25"/>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BAA0F-4AD1-4F2A-AE12-360062F777B4}">
  <dimension ref="A1:Z32"/>
  <sheetViews>
    <sheetView workbookViewId="0">
      <selection activeCell="A3" sqref="A3"/>
    </sheetView>
  </sheetViews>
  <sheetFormatPr defaultColWidth="9.140625" defaultRowHeight="15" outlineLevelRow="1" x14ac:dyDescent="0.25"/>
  <cols>
    <col min="1" max="1" width="9.140625" style="4"/>
    <col min="2" max="2" width="48.140625" style="4" bestFit="1" customWidth="1"/>
    <col min="3" max="3" width="14" style="259" customWidth="1"/>
    <col min="4" max="4" width="2" style="259" customWidth="1"/>
    <col min="5" max="5" width="11.5703125" style="259" customWidth="1"/>
    <col min="6" max="6" width="1.28515625" style="259" customWidth="1"/>
    <col min="7" max="7" width="11.5703125" style="259" customWidth="1"/>
    <col min="8" max="8" width="1.42578125" style="259" customWidth="1"/>
    <col min="9" max="9" width="10.140625" style="259" bestFit="1" customWidth="1"/>
    <col min="10" max="10" width="1.42578125" style="259" customWidth="1"/>
    <col min="11" max="11" width="14" style="259" customWidth="1"/>
    <col min="12" max="12" width="1.28515625" style="259" customWidth="1"/>
    <col min="13" max="13" width="11.42578125" style="259" customWidth="1"/>
    <col min="14" max="14" width="2.7109375" style="259" customWidth="1"/>
    <col min="15" max="15" width="11.42578125" style="259" customWidth="1"/>
    <col min="16" max="16" width="1.7109375" style="259" customWidth="1"/>
    <col min="17" max="17" width="11.28515625" style="259" customWidth="1"/>
    <col min="18" max="18" width="0.7109375" style="259" customWidth="1"/>
    <col min="19" max="19" width="11.28515625" style="259" customWidth="1"/>
    <col min="20" max="20" width="1.140625" style="259" customWidth="1"/>
    <col min="21" max="21" width="10.28515625" style="259" customWidth="1"/>
    <col min="22" max="22" width="1.28515625" style="259" customWidth="1"/>
    <col min="23" max="23" width="12.42578125" style="259" bestFit="1" customWidth="1"/>
    <col min="24" max="24" width="2.140625" style="259" customWidth="1"/>
    <col min="25" max="25" width="12.5703125" style="259" bestFit="1" customWidth="1"/>
    <col min="26" max="26" width="9.5703125" style="4" bestFit="1" customWidth="1"/>
    <col min="27" max="16384" width="9.140625" style="4"/>
  </cols>
  <sheetData>
    <row r="1" spans="1:26" x14ac:dyDescent="0.25">
      <c r="A1" s="12" t="s">
        <v>0</v>
      </c>
      <c r="B1" s="6"/>
      <c r="C1" s="258"/>
      <c r="D1" s="258"/>
      <c r="E1" s="258"/>
      <c r="F1" s="258"/>
      <c r="G1" s="258"/>
      <c r="H1" s="258"/>
      <c r="I1" s="258"/>
      <c r="J1" s="258"/>
      <c r="K1" s="258"/>
      <c r="L1" s="258"/>
      <c r="M1" s="258"/>
      <c r="N1" s="258"/>
      <c r="O1" s="258"/>
      <c r="P1" s="258"/>
      <c r="Q1" s="258"/>
      <c r="R1" s="258"/>
      <c r="S1" s="258"/>
      <c r="T1" s="258"/>
      <c r="U1" s="258"/>
      <c r="V1" s="258"/>
      <c r="W1" s="258"/>
      <c r="X1" s="258"/>
      <c r="Y1" s="258"/>
      <c r="Z1" s="6"/>
    </row>
    <row r="2" spans="1:26" x14ac:dyDescent="0.25">
      <c r="A2" s="12" t="s">
        <v>270</v>
      </c>
      <c r="B2" s="12"/>
      <c r="C2" s="420"/>
      <c r="D2" s="420"/>
      <c r="E2" s="420"/>
      <c r="F2" s="420"/>
      <c r="G2" s="420"/>
      <c r="H2" s="420"/>
      <c r="I2" s="420"/>
      <c r="J2" s="420"/>
      <c r="K2" s="420"/>
      <c r="L2" s="420"/>
      <c r="M2" s="420"/>
      <c r="N2" s="420"/>
      <c r="O2" s="420"/>
      <c r="P2" s="420"/>
      <c r="Q2" s="420"/>
      <c r="R2" s="420"/>
      <c r="S2" s="420"/>
      <c r="T2" s="420"/>
      <c r="U2" s="420"/>
      <c r="V2" s="420"/>
      <c r="W2" s="420"/>
      <c r="X2" s="420"/>
      <c r="Y2" s="420"/>
      <c r="Z2" s="274"/>
    </row>
    <row r="3" spans="1:26" x14ac:dyDescent="0.25">
      <c r="A3" s="538"/>
      <c r="B3" s="553"/>
      <c r="C3" s="420"/>
      <c r="D3" s="420"/>
      <c r="E3" s="420"/>
      <c r="F3" s="420"/>
      <c r="G3" s="420"/>
      <c r="H3" s="420"/>
      <c r="I3" s="420"/>
      <c r="J3" s="420"/>
      <c r="K3" s="420"/>
      <c r="L3" s="420"/>
      <c r="M3" s="420"/>
      <c r="N3" s="420"/>
      <c r="O3" s="420"/>
      <c r="P3" s="420"/>
      <c r="Q3" s="420"/>
      <c r="R3" s="420"/>
      <c r="S3" s="420"/>
      <c r="T3" s="420"/>
      <c r="U3" s="420"/>
      <c r="V3" s="420"/>
      <c r="W3" s="420"/>
      <c r="X3" s="420"/>
      <c r="Y3" s="420"/>
      <c r="Z3" s="274"/>
    </row>
    <row r="4" spans="1:26" x14ac:dyDescent="0.25">
      <c r="A4" s="6"/>
      <c r="B4" s="6"/>
      <c r="C4" s="258"/>
      <c r="D4" s="258"/>
      <c r="E4" s="258"/>
      <c r="F4" s="258"/>
      <c r="G4" s="258"/>
      <c r="H4" s="258"/>
      <c r="I4" s="258"/>
      <c r="J4" s="258"/>
      <c r="K4" s="258"/>
      <c r="L4" s="258"/>
      <c r="M4" s="258"/>
      <c r="N4" s="258"/>
      <c r="O4" s="258"/>
      <c r="P4" s="258"/>
      <c r="Q4" s="258"/>
      <c r="R4" s="258"/>
      <c r="S4" s="258"/>
      <c r="T4" s="258"/>
      <c r="U4" s="258"/>
      <c r="V4" s="258"/>
      <c r="W4" s="258"/>
      <c r="X4" s="258"/>
      <c r="Y4" s="258"/>
      <c r="Z4" s="6"/>
    </row>
    <row r="5" spans="1:26" x14ac:dyDescent="0.25">
      <c r="A5" s="6"/>
      <c r="B5" s="6"/>
      <c r="C5" s="258"/>
      <c r="D5" s="258"/>
      <c r="E5" s="258"/>
      <c r="F5" s="258"/>
      <c r="G5" s="258"/>
      <c r="H5" s="258"/>
      <c r="I5" s="258"/>
      <c r="J5" s="258"/>
      <c r="K5" s="258"/>
      <c r="L5" s="258"/>
      <c r="M5" s="258"/>
      <c r="N5" s="258"/>
      <c r="O5" s="258"/>
      <c r="P5" s="258"/>
      <c r="Q5" s="258"/>
      <c r="R5" s="258"/>
      <c r="S5" s="258"/>
      <c r="T5" s="258"/>
      <c r="U5" s="258"/>
      <c r="V5" s="258"/>
      <c r="W5" s="258"/>
      <c r="X5" s="258"/>
      <c r="Y5" s="258"/>
      <c r="Z5" s="6"/>
    </row>
    <row r="6" spans="1:26" ht="29.25" customHeight="1" x14ac:dyDescent="0.25">
      <c r="A6" s="6"/>
      <c r="B6" s="6"/>
      <c r="C6" s="199" t="s">
        <v>90</v>
      </c>
      <c r="D6" s="199"/>
      <c r="E6" s="257" t="s">
        <v>91</v>
      </c>
      <c r="F6" s="257"/>
      <c r="G6" s="257" t="s">
        <v>174</v>
      </c>
      <c r="H6" s="257"/>
      <c r="I6" s="257" t="s">
        <v>253</v>
      </c>
      <c r="J6" s="257"/>
      <c r="K6" s="257" t="s">
        <v>187</v>
      </c>
      <c r="L6" s="257"/>
      <c r="M6" s="257" t="s">
        <v>236</v>
      </c>
      <c r="N6" s="257"/>
      <c r="O6" s="257" t="s">
        <v>193</v>
      </c>
      <c r="P6" s="257"/>
      <c r="Q6" s="422" t="s">
        <v>159</v>
      </c>
      <c r="R6" s="422"/>
      <c r="S6" s="257" t="s">
        <v>182</v>
      </c>
      <c r="T6" s="257"/>
      <c r="U6" s="257" t="s">
        <v>92</v>
      </c>
      <c r="V6" s="257"/>
      <c r="W6" s="257" t="s">
        <v>93</v>
      </c>
      <c r="X6" s="257"/>
      <c r="Y6" s="257" t="s">
        <v>94</v>
      </c>
      <c r="Z6" s="6"/>
    </row>
    <row r="7" spans="1:26" s="14" customFormat="1" x14ac:dyDescent="0.25">
      <c r="A7" s="6"/>
      <c r="B7" s="12" t="s">
        <v>194</v>
      </c>
      <c r="C7" s="534">
        <v>-60454</v>
      </c>
      <c r="D7" s="534"/>
      <c r="E7" s="534">
        <v>21690</v>
      </c>
      <c r="F7" s="534"/>
      <c r="G7" s="534">
        <v>16496</v>
      </c>
      <c r="H7" s="534"/>
      <c r="I7" s="589"/>
      <c r="J7" s="534"/>
      <c r="K7" s="534">
        <v>-177508</v>
      </c>
      <c r="L7" s="534"/>
      <c r="M7" s="589"/>
      <c r="N7" s="534"/>
      <c r="O7" s="534">
        <v>-69883</v>
      </c>
      <c r="P7" s="534"/>
      <c r="Q7" s="534">
        <v>-40045</v>
      </c>
      <c r="R7" s="534"/>
      <c r="S7" s="534">
        <v>16504</v>
      </c>
      <c r="T7" s="534"/>
      <c r="U7" s="534">
        <v>10434</v>
      </c>
      <c r="V7" s="534"/>
      <c r="W7" s="534">
        <v>8115</v>
      </c>
      <c r="X7" s="534"/>
      <c r="Y7" s="534">
        <f>SUM(C7:W7)</f>
        <v>-274651</v>
      </c>
      <c r="Z7" s="26"/>
    </row>
    <row r="8" spans="1:26" x14ac:dyDescent="0.25">
      <c r="A8" s="6"/>
      <c r="B8" s="6" t="s">
        <v>54</v>
      </c>
      <c r="C8" s="533"/>
      <c r="D8" s="533"/>
      <c r="E8" s="533"/>
      <c r="F8" s="533"/>
      <c r="G8" s="533"/>
      <c r="H8" s="533"/>
      <c r="I8" s="590"/>
      <c r="J8" s="533"/>
      <c r="K8" s="533"/>
      <c r="L8" s="533"/>
      <c r="M8" s="590"/>
      <c r="N8" s="533"/>
      <c r="O8" s="533"/>
      <c r="P8" s="533"/>
      <c r="Q8" s="533"/>
      <c r="R8" s="533"/>
      <c r="S8" s="533"/>
      <c r="T8" s="533"/>
      <c r="U8" s="533"/>
      <c r="V8" s="533"/>
      <c r="W8" s="533"/>
      <c r="X8" s="533"/>
      <c r="Y8" s="533"/>
      <c r="Z8" s="26"/>
    </row>
    <row r="9" spans="1:26" x14ac:dyDescent="0.25">
      <c r="A9" s="6"/>
      <c r="B9" s="6" t="s">
        <v>21</v>
      </c>
      <c r="C9" s="535">
        <v>301.14100000000002</v>
      </c>
      <c r="D9" s="535"/>
      <c r="E9" s="535">
        <v>4994.3760000000002</v>
      </c>
      <c r="F9" s="535"/>
      <c r="G9" s="535">
        <v>2862.71</v>
      </c>
      <c r="H9" s="535"/>
      <c r="I9" s="591"/>
      <c r="J9" s="535"/>
      <c r="K9" s="535">
        <v>148</v>
      </c>
      <c r="L9" s="535"/>
      <c r="M9" s="591"/>
      <c r="N9" s="535"/>
      <c r="O9" s="535">
        <v>-5673.8720000000003</v>
      </c>
      <c r="P9" s="535"/>
      <c r="Q9" s="535">
        <v>-5615.6360000000004</v>
      </c>
      <c r="R9" s="535"/>
      <c r="S9" s="535">
        <v>5890.4189999999999</v>
      </c>
      <c r="T9" s="535"/>
      <c r="U9" s="535">
        <v>4185.3379999999997</v>
      </c>
      <c r="V9" s="535"/>
      <c r="W9" s="535">
        <v>1106</v>
      </c>
      <c r="X9" s="535"/>
      <c r="Y9" s="535">
        <f t="shared" ref="Y9:Y20" si="0">SUM(C9:W9)</f>
        <v>8198.4759999999987</v>
      </c>
      <c r="Z9" s="26"/>
    </row>
    <row r="10" spans="1:26" x14ac:dyDescent="0.25">
      <c r="A10" s="6"/>
      <c r="B10" s="6" t="s">
        <v>195</v>
      </c>
      <c r="C10" s="535">
        <v>104854.81</v>
      </c>
      <c r="D10" s="535"/>
      <c r="E10" s="535">
        <v>-8.4649999999999999</v>
      </c>
      <c r="F10" s="535"/>
      <c r="G10" s="535">
        <v>-18.140999999999998</v>
      </c>
      <c r="H10" s="535"/>
      <c r="I10" s="591"/>
      <c r="J10" s="535"/>
      <c r="K10" s="535">
        <v>4716</v>
      </c>
      <c r="L10" s="535"/>
      <c r="M10" s="591"/>
      <c r="N10" s="535"/>
      <c r="O10" s="535">
        <v>-10.608000000000001</v>
      </c>
      <c r="P10" s="535"/>
      <c r="Q10" s="535">
        <v>352.49</v>
      </c>
      <c r="R10" s="535"/>
      <c r="S10" s="535">
        <v>0</v>
      </c>
      <c r="T10" s="535"/>
      <c r="U10" s="535">
        <v>4.6589999999999998</v>
      </c>
      <c r="V10" s="535"/>
      <c r="W10" s="535">
        <v>0</v>
      </c>
      <c r="X10" s="535"/>
      <c r="Y10" s="535">
        <f t="shared" si="0"/>
        <v>109890.74500000001</v>
      </c>
      <c r="Z10" s="26"/>
    </row>
    <row r="11" spans="1:26" x14ac:dyDescent="0.25">
      <c r="A11" s="6"/>
      <c r="B11" s="6" t="s">
        <v>95</v>
      </c>
      <c r="C11" s="535">
        <v>-126240</v>
      </c>
      <c r="D11" s="535"/>
      <c r="E11" s="535">
        <v>20243.975999999999</v>
      </c>
      <c r="F11" s="535"/>
      <c r="G11" s="535">
        <v>7580.3739999999998</v>
      </c>
      <c r="H11" s="535"/>
      <c r="I11" s="591"/>
      <c r="J11" s="535"/>
      <c r="K11" s="535">
        <v>32837</v>
      </c>
      <c r="L11" s="535"/>
      <c r="M11" s="591"/>
      <c r="N11" s="535"/>
      <c r="O11" s="535">
        <v>18123.313999999998</v>
      </c>
      <c r="P11" s="535"/>
      <c r="Q11" s="535">
        <v>13509.725</v>
      </c>
      <c r="R11" s="535"/>
      <c r="S11" s="535">
        <v>10485.798000000001</v>
      </c>
      <c r="T11" s="535"/>
      <c r="U11" s="535">
        <v>6805.7420000000002</v>
      </c>
      <c r="V11" s="535"/>
      <c r="W11" s="535">
        <v>16653.752</v>
      </c>
      <c r="X11" s="535"/>
      <c r="Y11" s="535">
        <f t="shared" si="0"/>
        <v>-0.31900000001041917</v>
      </c>
      <c r="Z11" s="26"/>
    </row>
    <row r="12" spans="1:26" s="14" customFormat="1" x14ac:dyDescent="0.25">
      <c r="A12" s="12"/>
      <c r="B12" s="6" t="s">
        <v>96</v>
      </c>
      <c r="C12" s="536">
        <v>1498</v>
      </c>
      <c r="D12" s="536"/>
      <c r="E12" s="536">
        <v>26009</v>
      </c>
      <c r="F12" s="536"/>
      <c r="G12" s="536">
        <v>22932</v>
      </c>
      <c r="H12" s="536"/>
      <c r="I12" s="592"/>
      <c r="J12" s="536"/>
      <c r="K12" s="536">
        <v>3232</v>
      </c>
      <c r="L12" s="536"/>
      <c r="M12" s="592"/>
      <c r="N12" s="536"/>
      <c r="O12" s="536">
        <v>21478</v>
      </c>
      <c r="P12" s="536"/>
      <c r="Q12" s="536">
        <v>13282</v>
      </c>
      <c r="R12" s="536"/>
      <c r="S12" s="536">
        <v>16741</v>
      </c>
      <c r="T12" s="536"/>
      <c r="U12" s="536">
        <v>8441</v>
      </c>
      <c r="V12" s="536"/>
      <c r="W12" s="536">
        <v>19959</v>
      </c>
      <c r="X12" s="536"/>
      <c r="Y12" s="536">
        <f t="shared" si="0"/>
        <v>133572</v>
      </c>
      <c r="Z12" s="26"/>
    </row>
    <row r="13" spans="1:26" s="14" customFormat="1" x14ac:dyDescent="0.25">
      <c r="A13" s="12"/>
      <c r="B13" s="12" t="s">
        <v>57</v>
      </c>
      <c r="C13" s="535">
        <f>SUM(C7:C12)</f>
        <v>-80040.048999999999</v>
      </c>
      <c r="D13" s="535"/>
      <c r="E13" s="535">
        <v>72928.887000000002</v>
      </c>
      <c r="F13" s="535"/>
      <c r="G13" s="535">
        <v>49852.942999999999</v>
      </c>
      <c r="H13" s="535"/>
      <c r="I13" s="591"/>
      <c r="J13" s="535"/>
      <c r="K13" s="535">
        <f>SUM(K7:K12)</f>
        <v>-136575</v>
      </c>
      <c r="L13" s="535"/>
      <c r="M13" s="591"/>
      <c r="N13" s="535"/>
      <c r="O13" s="535">
        <v>-35966.165999999997</v>
      </c>
      <c r="P13" s="535"/>
      <c r="Q13" s="535">
        <v>-18516.421000000002</v>
      </c>
      <c r="R13" s="535"/>
      <c r="S13" s="535">
        <v>49621.216999999997</v>
      </c>
      <c r="T13" s="535"/>
      <c r="U13" s="535">
        <v>29870.739000000001</v>
      </c>
      <c r="V13" s="537"/>
      <c r="W13" s="535">
        <v>45833.752</v>
      </c>
      <c r="X13" s="535"/>
      <c r="Y13" s="535">
        <f t="shared" si="0"/>
        <v>-22990.097999999976</v>
      </c>
      <c r="Z13" s="26"/>
    </row>
    <row r="14" spans="1:26" s="14" customFormat="1" x14ac:dyDescent="0.25">
      <c r="A14" s="12"/>
      <c r="B14" s="6" t="s">
        <v>163</v>
      </c>
      <c r="C14" s="535">
        <v>-128</v>
      </c>
      <c r="D14" s="535"/>
      <c r="E14" s="535">
        <v>-515.31299999999999</v>
      </c>
      <c r="F14" s="535"/>
      <c r="G14" s="535">
        <v>97.87</v>
      </c>
      <c r="H14" s="535"/>
      <c r="I14" s="591"/>
      <c r="J14" s="535"/>
      <c r="K14" s="535">
        <v>84815</v>
      </c>
      <c r="L14" s="535"/>
      <c r="M14" s="591"/>
      <c r="N14" s="535"/>
      <c r="O14" s="535">
        <v>63.7</v>
      </c>
      <c r="P14" s="535"/>
      <c r="Q14" s="535">
        <v>-1209.807</v>
      </c>
      <c r="R14" s="535"/>
      <c r="S14" s="535">
        <v>1439.5060000000001</v>
      </c>
      <c r="T14" s="535"/>
      <c r="U14" s="535">
        <v>-5.4589999999999996</v>
      </c>
      <c r="V14" s="535"/>
      <c r="W14" s="535">
        <v>-1441.136</v>
      </c>
      <c r="X14" s="535"/>
      <c r="Y14" s="535">
        <f t="shared" si="0"/>
        <v>83116.36099999999</v>
      </c>
      <c r="Z14" s="26"/>
    </row>
    <row r="15" spans="1:26" x14ac:dyDescent="0.25">
      <c r="A15" s="6"/>
      <c r="B15" s="6" t="s">
        <v>59</v>
      </c>
      <c r="C15" s="535">
        <v>0</v>
      </c>
      <c r="D15" s="535"/>
      <c r="E15" s="535">
        <v>1191</v>
      </c>
      <c r="F15" s="535"/>
      <c r="G15" s="535">
        <v>3019</v>
      </c>
      <c r="H15" s="535"/>
      <c r="I15" s="591"/>
      <c r="J15" s="535"/>
      <c r="K15" s="535">
        <v>1474</v>
      </c>
      <c r="L15" s="535"/>
      <c r="M15" s="591"/>
      <c r="N15" s="535"/>
      <c r="O15" s="535">
        <v>980</v>
      </c>
      <c r="P15" s="535"/>
      <c r="Q15" s="535">
        <v>914</v>
      </c>
      <c r="R15" s="535"/>
      <c r="S15" s="535">
        <v>986</v>
      </c>
      <c r="T15" s="535"/>
      <c r="U15" s="535">
        <v>27</v>
      </c>
      <c r="V15" s="535"/>
      <c r="W15" s="535">
        <v>860</v>
      </c>
      <c r="X15" s="535"/>
      <c r="Y15" s="535">
        <f t="shared" si="0"/>
        <v>9451</v>
      </c>
      <c r="Z15" s="26"/>
    </row>
    <row r="16" spans="1:26" x14ac:dyDescent="0.25">
      <c r="A16" s="6"/>
      <c r="B16" s="6" t="s">
        <v>71</v>
      </c>
      <c r="C16" s="535">
        <v>0</v>
      </c>
      <c r="D16" s="535"/>
      <c r="E16" s="535">
        <v>0</v>
      </c>
      <c r="F16" s="535"/>
      <c r="G16" s="535">
        <v>0</v>
      </c>
      <c r="H16" s="535"/>
      <c r="I16" s="591"/>
      <c r="J16" s="535"/>
      <c r="K16" s="535">
        <v>1197</v>
      </c>
      <c r="L16" s="535"/>
      <c r="M16" s="591"/>
      <c r="N16" s="535"/>
      <c r="O16" s="535">
        <v>57810</v>
      </c>
      <c r="P16" s="535"/>
      <c r="Q16" s="535">
        <v>31590.238000000001</v>
      </c>
      <c r="R16" s="535"/>
      <c r="S16" s="535">
        <v>0</v>
      </c>
      <c r="T16" s="535"/>
      <c r="U16" s="535">
        <v>0</v>
      </c>
      <c r="V16" s="535"/>
      <c r="W16" s="535">
        <v>0</v>
      </c>
      <c r="X16" s="535"/>
      <c r="Y16" s="535">
        <f t="shared" si="0"/>
        <v>90597.237999999998</v>
      </c>
      <c r="Z16" s="26"/>
    </row>
    <row r="17" spans="1:26" x14ac:dyDescent="0.25">
      <c r="A17" s="6"/>
      <c r="B17" s="6" t="s">
        <v>98</v>
      </c>
      <c r="C17" s="535">
        <v>0</v>
      </c>
      <c r="D17" s="535"/>
      <c r="E17" s="535">
        <v>0</v>
      </c>
      <c r="F17" s="535"/>
      <c r="G17" s="535">
        <v>0</v>
      </c>
      <c r="H17" s="535"/>
      <c r="I17" s="591"/>
      <c r="J17" s="535"/>
      <c r="K17" s="535">
        <v>0</v>
      </c>
      <c r="L17" s="535"/>
      <c r="M17" s="591"/>
      <c r="N17" s="535">
        <v>0</v>
      </c>
      <c r="O17" s="535">
        <v>0</v>
      </c>
      <c r="P17" s="535"/>
      <c r="Q17" s="535">
        <v>0</v>
      </c>
      <c r="R17" s="535"/>
      <c r="S17" s="535">
        <v>0</v>
      </c>
      <c r="T17" s="535"/>
      <c r="U17" s="535">
        <v>0</v>
      </c>
      <c r="V17" s="535"/>
      <c r="W17" s="535">
        <v>0</v>
      </c>
      <c r="X17" s="535"/>
      <c r="Y17" s="535">
        <f t="shared" si="0"/>
        <v>0</v>
      </c>
      <c r="Z17" s="26"/>
    </row>
    <row r="18" spans="1:26" x14ac:dyDescent="0.25">
      <c r="A18" s="6"/>
      <c r="B18" s="6" t="s">
        <v>157</v>
      </c>
      <c r="C18" s="535">
        <v>0</v>
      </c>
      <c r="D18" s="535"/>
      <c r="E18" s="535">
        <v>0</v>
      </c>
      <c r="F18" s="535"/>
      <c r="G18" s="535">
        <v>0</v>
      </c>
      <c r="H18" s="535"/>
      <c r="I18" s="591"/>
      <c r="J18" s="535"/>
      <c r="K18" s="535">
        <v>0</v>
      </c>
      <c r="L18" s="535"/>
      <c r="M18" s="591"/>
      <c r="N18" s="535">
        <v>0</v>
      </c>
      <c r="O18" s="535">
        <v>2375</v>
      </c>
      <c r="P18" s="535"/>
      <c r="Q18" s="535">
        <v>0</v>
      </c>
      <c r="R18" s="535"/>
      <c r="S18" s="535">
        <v>0</v>
      </c>
      <c r="T18" s="535"/>
      <c r="U18" s="535">
        <v>0</v>
      </c>
      <c r="V18" s="535"/>
      <c r="W18" s="535">
        <v>0</v>
      </c>
      <c r="X18" s="535"/>
      <c r="Y18" s="535">
        <f t="shared" si="0"/>
        <v>2375</v>
      </c>
      <c r="Z18" s="26"/>
    </row>
    <row r="19" spans="1:26" x14ac:dyDescent="0.25">
      <c r="A19" s="6"/>
      <c r="B19" s="6" t="s">
        <v>34</v>
      </c>
      <c r="C19" s="540">
        <v>0</v>
      </c>
      <c r="D19" s="540"/>
      <c r="E19" s="540">
        <v>0</v>
      </c>
      <c r="F19" s="540"/>
      <c r="G19" s="540">
        <v>3072</v>
      </c>
      <c r="H19" s="540"/>
      <c r="I19" s="593"/>
      <c r="J19" s="540"/>
      <c r="K19" s="540">
        <v>0</v>
      </c>
      <c r="L19" s="540"/>
      <c r="M19" s="593"/>
      <c r="N19" s="540"/>
      <c r="O19" s="540">
        <v>0</v>
      </c>
      <c r="P19" s="540"/>
      <c r="Q19" s="540">
        <v>0</v>
      </c>
      <c r="R19" s="540"/>
      <c r="S19" s="540">
        <v>0</v>
      </c>
      <c r="T19" s="540"/>
      <c r="U19" s="540">
        <v>0</v>
      </c>
      <c r="V19" s="540"/>
      <c r="W19" s="540">
        <v>1434</v>
      </c>
      <c r="X19" s="540"/>
      <c r="Y19" s="540">
        <f t="shared" si="0"/>
        <v>4506</v>
      </c>
      <c r="Z19" s="26"/>
    </row>
    <row r="20" spans="1:26" s="14" customFormat="1" ht="15.75" thickBot="1" x14ac:dyDescent="0.3">
      <c r="A20" s="12"/>
      <c r="B20" s="12" t="s">
        <v>65</v>
      </c>
      <c r="C20" s="242">
        <f>(SUM(C13:C19))</f>
        <v>-80168.048999999999</v>
      </c>
      <c r="D20" s="242">
        <v>0</v>
      </c>
      <c r="E20" s="242">
        <f>(SUM(E13:E19))</f>
        <v>73604.574000000008</v>
      </c>
      <c r="F20" s="242">
        <f>(SUM(F13:F19))</f>
        <v>0</v>
      </c>
      <c r="G20" s="242">
        <f>(SUM(G13:G19))</f>
        <v>56041.813000000002</v>
      </c>
      <c r="H20" s="242">
        <f t="shared" ref="H20:X20" si="1">(SUM(H13:H19))</f>
        <v>0</v>
      </c>
      <c r="I20" s="594"/>
      <c r="J20" s="242">
        <f t="shared" si="1"/>
        <v>0</v>
      </c>
      <c r="K20" s="242">
        <f t="shared" si="1"/>
        <v>-49089</v>
      </c>
      <c r="L20" s="242">
        <f t="shared" si="1"/>
        <v>0</v>
      </c>
      <c r="M20" s="594"/>
      <c r="N20" s="242"/>
      <c r="O20" s="242">
        <f t="shared" si="1"/>
        <v>25262.534</v>
      </c>
      <c r="P20" s="242">
        <f t="shared" si="1"/>
        <v>0</v>
      </c>
      <c r="Q20" s="242">
        <f t="shared" si="1"/>
        <v>12778.009999999998</v>
      </c>
      <c r="R20" s="242">
        <f t="shared" si="1"/>
        <v>0</v>
      </c>
      <c r="S20" s="242">
        <f t="shared" si="1"/>
        <v>52046.722999999998</v>
      </c>
      <c r="T20" s="242">
        <f t="shared" si="1"/>
        <v>0</v>
      </c>
      <c r="U20" s="242">
        <f t="shared" si="1"/>
        <v>29892.280000000002</v>
      </c>
      <c r="V20" s="242">
        <f t="shared" si="1"/>
        <v>0</v>
      </c>
      <c r="W20" s="242">
        <f t="shared" si="1"/>
        <v>46686.616000000002</v>
      </c>
      <c r="X20" s="242">
        <f t="shared" si="1"/>
        <v>0</v>
      </c>
      <c r="Y20" s="242">
        <f t="shared" si="0"/>
        <v>167055.50100000002</v>
      </c>
      <c r="Z20" s="26"/>
    </row>
    <row r="21" spans="1:26" ht="15.75" thickTop="1" x14ac:dyDescent="0.25">
      <c r="A21" s="6"/>
      <c r="B21" s="6"/>
      <c r="C21" s="258"/>
      <c r="D21" s="258"/>
      <c r="E21" s="22"/>
      <c r="F21" s="22"/>
      <c r="G21" s="22"/>
      <c r="H21" s="22"/>
      <c r="I21" s="22"/>
      <c r="J21" s="22"/>
      <c r="K21" s="22"/>
      <c r="L21" s="22"/>
      <c r="M21" s="22"/>
      <c r="N21" s="22"/>
      <c r="O21" s="22"/>
      <c r="P21" s="22"/>
      <c r="Q21" s="22"/>
      <c r="R21" s="22"/>
      <c r="S21" s="22"/>
      <c r="T21" s="22"/>
      <c r="U21" s="22"/>
      <c r="V21" s="22"/>
      <c r="W21" s="22"/>
      <c r="X21" s="22"/>
      <c r="Y21" s="22"/>
      <c r="Z21" s="6"/>
    </row>
    <row r="22" spans="1:26" x14ac:dyDescent="0.25">
      <c r="A22" s="6"/>
      <c r="B22" s="831" t="s">
        <v>252</v>
      </c>
      <c r="C22" s="831"/>
      <c r="D22" s="831"/>
      <c r="E22" s="831"/>
      <c r="F22" s="831"/>
      <c r="G22" s="831"/>
      <c r="H22" s="831"/>
      <c r="I22" s="831"/>
      <c r="J22" s="831"/>
      <c r="K22" s="831"/>
      <c r="L22" s="831"/>
      <c r="M22" s="831"/>
      <c r="N22" s="831"/>
      <c r="O22" s="831"/>
      <c r="P22" s="831"/>
      <c r="Q22" s="831"/>
      <c r="R22" s="831"/>
      <c r="S22" s="831"/>
      <c r="T22" s="831"/>
      <c r="U22" s="831"/>
      <c r="V22" s="831"/>
      <c r="W22" s="831"/>
      <c r="X22" s="831"/>
      <c r="Y22" s="831"/>
      <c r="Z22" s="6"/>
    </row>
    <row r="23" spans="1:26" x14ac:dyDescent="0.25">
      <c r="A23" s="6"/>
      <c r="B23" s="831"/>
      <c r="C23" s="831"/>
      <c r="D23" s="831"/>
      <c r="E23" s="831"/>
      <c r="F23" s="831"/>
      <c r="G23" s="831"/>
      <c r="H23" s="831"/>
      <c r="I23" s="831"/>
      <c r="J23" s="831"/>
      <c r="K23" s="831"/>
      <c r="L23" s="831"/>
      <c r="M23" s="831"/>
      <c r="N23" s="831"/>
      <c r="O23" s="831"/>
      <c r="P23" s="831"/>
      <c r="Q23" s="831"/>
      <c r="R23" s="831"/>
      <c r="S23" s="831"/>
      <c r="T23" s="831"/>
      <c r="U23" s="831"/>
      <c r="V23" s="831"/>
      <c r="W23" s="831"/>
      <c r="X23" s="831"/>
      <c r="Y23" s="831"/>
      <c r="Z23" s="6"/>
    </row>
    <row r="24" spans="1:26" hidden="1" outlineLevel="1" x14ac:dyDescent="0.25">
      <c r="B24" s="548" t="s">
        <v>200</v>
      </c>
      <c r="C24" s="4"/>
      <c r="D24" s="4"/>
      <c r="E24" s="4"/>
      <c r="F24" s="4"/>
      <c r="G24" s="4"/>
      <c r="H24" s="4"/>
      <c r="I24" s="4"/>
      <c r="J24" s="4"/>
      <c r="K24" s="4"/>
      <c r="L24" s="4"/>
      <c r="M24" s="4"/>
      <c r="N24" s="4"/>
      <c r="O24" s="4"/>
      <c r="P24" s="4"/>
      <c r="Q24" s="4"/>
      <c r="R24" s="4"/>
      <c r="S24" s="4"/>
      <c r="T24" s="4"/>
      <c r="U24" s="4"/>
      <c r="V24" s="4"/>
      <c r="W24" s="4"/>
      <c r="X24" s="4"/>
      <c r="Y24" s="4"/>
    </row>
    <row r="25" spans="1:26" s="66" customFormat="1" hidden="1" outlineLevel="1" x14ac:dyDescent="0.25">
      <c r="B25" s="66" t="s">
        <v>57</v>
      </c>
      <c r="C25" s="66">
        <f>SUM(C7:C12)-C13</f>
        <v>0</v>
      </c>
      <c r="E25" s="66">
        <f>SUM(E7:E12)-E13</f>
        <v>0</v>
      </c>
      <c r="G25" s="66">
        <f>SUM(G7:G12)-G13</f>
        <v>0</v>
      </c>
      <c r="I25" s="66">
        <f>SUM(I7:I12)-I13</f>
        <v>0</v>
      </c>
      <c r="K25" s="66">
        <f>SUM(K7:K12)-K13</f>
        <v>0</v>
      </c>
      <c r="M25" s="66">
        <f>SUM(M7:M12)-M13</f>
        <v>0</v>
      </c>
      <c r="O25" s="66">
        <f>SUM(O7:O12)-O13</f>
        <v>0</v>
      </c>
      <c r="Q25" s="66">
        <f>SUM(Q7:Q12)-Q13</f>
        <v>0</v>
      </c>
      <c r="S25" s="66">
        <f>SUM(S7:S12)-S13</f>
        <v>0</v>
      </c>
      <c r="U25" s="66">
        <f>SUM(U7:U12)-U13</f>
        <v>0</v>
      </c>
      <c r="W25" s="66">
        <f>SUM(W7:W12)-W13</f>
        <v>0</v>
      </c>
      <c r="Y25" s="66">
        <f>SUM(Y7:Y12)-Y13</f>
        <v>0</v>
      </c>
    </row>
    <row r="26" spans="1:26" s="66" customFormat="1" hidden="1" outlineLevel="1" x14ac:dyDescent="0.25">
      <c r="B26" s="66" t="s">
        <v>65</v>
      </c>
      <c r="C26" s="66">
        <f>SUM(C13:C19)-C20</f>
        <v>0</v>
      </c>
      <c r="E26" s="66">
        <f>SUM(E13:E19)-E20</f>
        <v>0</v>
      </c>
      <c r="G26" s="66">
        <f>SUM(G13:G19)-G20</f>
        <v>0</v>
      </c>
      <c r="I26" s="66">
        <f>SUM(I13:I19)-I20</f>
        <v>0</v>
      </c>
      <c r="K26" s="66">
        <f>SUM(K13:K19)-K20</f>
        <v>0</v>
      </c>
      <c r="M26" s="66">
        <f>SUM(M13:M19)-M20</f>
        <v>0</v>
      </c>
      <c r="O26" s="66">
        <f>SUM(O13:O19)-O20</f>
        <v>0</v>
      </c>
      <c r="Q26" s="66">
        <f>SUM(Q13:Q19)-Q20</f>
        <v>0</v>
      </c>
      <c r="S26" s="66">
        <f>SUM(S13:S19)-S20</f>
        <v>0</v>
      </c>
      <c r="U26" s="66">
        <f>SUM(U13:U19)-U20</f>
        <v>0</v>
      </c>
      <c r="W26" s="66">
        <f>SUM(W13:W19)-W20</f>
        <v>0</v>
      </c>
      <c r="Y26" s="66">
        <f>SUM(Y13:Y19)-Y20</f>
        <v>0</v>
      </c>
    </row>
    <row r="27" spans="1:26" s="66" customFormat="1" hidden="1" outlineLevel="1" x14ac:dyDescent="0.25"/>
    <row r="28" spans="1:26" s="66" customFormat="1" ht="17.25" hidden="1" outlineLevel="1" x14ac:dyDescent="0.4">
      <c r="B28" s="547" t="s">
        <v>191</v>
      </c>
    </row>
    <row r="29" spans="1:26" s="66" customFormat="1" hidden="1" outlineLevel="1" x14ac:dyDescent="0.25">
      <c r="B29" s="66" t="s">
        <v>24</v>
      </c>
      <c r="E29" s="66">
        <f>E7-'5.11 Tactical'!AC29</f>
        <v>-0.17199999999866122</v>
      </c>
      <c r="G29" s="66">
        <f>G7-'BOA Technology'!AC29</f>
        <v>0.2930000000014843</v>
      </c>
      <c r="K29" s="66">
        <f>K7-Lugano!AA29</f>
        <v>9.0000000200234354E-3</v>
      </c>
      <c r="M29" s="66">
        <f>M7-'Marucci Sports'!K27</f>
        <v>0</v>
      </c>
      <c r="O29" s="66">
        <f>O7-PrimaLoft!AC29</f>
        <v>-0.46600000000034925</v>
      </c>
      <c r="Q29" s="66">
        <f>Q7-'Velocity Outdoor'!AC29</f>
        <v>-7.2999999996682163E-2</v>
      </c>
      <c r="S29" s="66">
        <f>S7-'Altor Solutions'!AC30</f>
        <v>0.36600000000180444</v>
      </c>
      <c r="U29" s="66">
        <f>U7-'Arnold Magnetic'!AC29</f>
        <v>-0.1180000000003929</v>
      </c>
      <c r="W29" s="66">
        <f>W7-'Sterno Group'!AC30</f>
        <v>-0.49600000000009459</v>
      </c>
    </row>
    <row r="30" spans="1:26" s="66" customFormat="1" hidden="1" outlineLevel="1" x14ac:dyDescent="0.25">
      <c r="B30" s="66" t="s">
        <v>57</v>
      </c>
      <c r="E30" s="66">
        <f>E13-'5.11 Tactical'!AC36</f>
        <v>0</v>
      </c>
      <c r="G30" s="66">
        <f>G13-'BOA Technology'!AC36</f>
        <v>0</v>
      </c>
      <c r="K30" s="66">
        <f>K13-Lugano!AA36</f>
        <v>-4.5999999972991645E-2</v>
      </c>
      <c r="M30" s="66">
        <f>M13-'Marucci Sports'!K34</f>
        <v>0</v>
      </c>
      <c r="O30" s="66">
        <f>O13-PrimaLoft!AC36</f>
        <v>0</v>
      </c>
      <c r="Q30" s="66">
        <f>Q13-'Velocity Outdoor'!AC36</f>
        <v>0</v>
      </c>
      <c r="S30" s="66">
        <f>S13-'Altor Solutions'!AC37</f>
        <v>0</v>
      </c>
      <c r="U30" s="66">
        <f>U13-'Arnold Magnetic'!AC36</f>
        <v>0</v>
      </c>
      <c r="W30" s="66">
        <f>W13-'Sterno Group'!AC37</f>
        <v>0</v>
      </c>
    </row>
    <row r="31" spans="1:26" s="66" customFormat="1" hidden="1" outlineLevel="1" x14ac:dyDescent="0.25">
      <c r="B31" s="66" t="s">
        <v>65</v>
      </c>
      <c r="E31" s="66">
        <f>E20-'5.11 Tactical'!AC44</f>
        <v>0</v>
      </c>
      <c r="G31" s="66">
        <f>G20-'BOA Technology'!AC44</f>
        <v>0</v>
      </c>
      <c r="K31" s="66">
        <f>K20-Lugano!AA44</f>
        <v>0.47000000001571607</v>
      </c>
      <c r="M31" s="66">
        <f>M20-'Marucci Sports'!K42</f>
        <v>0</v>
      </c>
      <c r="O31" s="66">
        <f>O20-PrimaLoft!AC44</f>
        <v>0</v>
      </c>
      <c r="Q31" s="66">
        <f>Q20-'Velocity Outdoor'!AC44</f>
        <v>0</v>
      </c>
      <c r="S31" s="66">
        <f>S20-'Altor Solutions'!AC45</f>
        <v>0</v>
      </c>
      <c r="U31" s="66">
        <f>U20-'Arnold Magnetic'!AC44</f>
        <v>0</v>
      </c>
      <c r="W31" s="66">
        <f>W20-'Sterno Group'!AC45</f>
        <v>0</v>
      </c>
    </row>
    <row r="32" spans="1:26" collapsed="1" x14ac:dyDescent="0.25"/>
  </sheetData>
  <mergeCells count="1">
    <mergeCell ref="B22:Y23"/>
  </mergeCells>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73957-E35E-400F-A606-47166F00F1B4}">
  <dimension ref="A1:AB33"/>
  <sheetViews>
    <sheetView showGridLines="0" workbookViewId="0">
      <selection activeCell="A3" sqref="A3"/>
    </sheetView>
  </sheetViews>
  <sheetFormatPr defaultColWidth="9.140625" defaultRowHeight="15" outlineLevelRow="1" x14ac:dyDescent="0.25"/>
  <cols>
    <col min="1" max="1" width="9.140625" style="4"/>
    <col min="2" max="2" width="48.140625" style="4" bestFit="1" customWidth="1"/>
    <col min="3" max="3" width="14" style="259" customWidth="1"/>
    <col min="4" max="4" width="2" style="259" customWidth="1"/>
    <col min="5" max="5" width="11.5703125" style="259" customWidth="1"/>
    <col min="6" max="6" width="1.28515625" style="259" customWidth="1"/>
    <col min="7" max="7" width="11.5703125" style="259" customWidth="1"/>
    <col min="8" max="8" width="1.42578125" style="259" customWidth="1"/>
    <col min="9" max="9" width="14" style="259" customWidth="1"/>
    <col min="10" max="10" width="1.42578125" style="259" customWidth="1"/>
    <col min="11" max="11" width="14" style="259" customWidth="1"/>
    <col min="12" max="12" width="1.28515625" style="259" customWidth="1"/>
    <col min="13" max="13" width="11.42578125" style="259" customWidth="1"/>
    <col min="14" max="14" width="2.7109375" style="259" customWidth="1"/>
    <col min="15" max="15" width="11.42578125" style="259" customWidth="1"/>
    <col min="16" max="16" width="1.7109375" style="259" customWidth="1"/>
    <col min="17" max="17" width="11.28515625" style="259" customWidth="1"/>
    <col min="18" max="18" width="0.7109375" style="259" customWidth="1"/>
    <col min="19" max="19" width="10.7109375" style="259" customWidth="1"/>
    <col min="20" max="20" width="1.28515625" style="259" customWidth="1"/>
    <col min="21" max="21" width="11.28515625" style="259" customWidth="1"/>
    <col min="22" max="22" width="1.140625" style="259" customWidth="1"/>
    <col min="23" max="23" width="10.28515625" style="259" customWidth="1"/>
    <col min="24" max="24" width="1.28515625" style="259" customWidth="1"/>
    <col min="25" max="25" width="12.42578125" style="259" bestFit="1" customWidth="1"/>
    <col min="26" max="26" width="2.140625" style="259" customWidth="1"/>
    <col min="27" max="27" width="12.5703125" style="259" bestFit="1" customWidth="1"/>
    <col min="28" max="28" width="9.5703125" style="4" bestFit="1" customWidth="1"/>
    <col min="29" max="16384" width="9.140625" style="4"/>
  </cols>
  <sheetData>
    <row r="1" spans="1:28" x14ac:dyDescent="0.25">
      <c r="A1" s="12" t="s">
        <v>0</v>
      </c>
      <c r="B1" s="6"/>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6"/>
    </row>
    <row r="2" spans="1:28" x14ac:dyDescent="0.25">
      <c r="A2" s="12" t="s">
        <v>271</v>
      </c>
      <c r="B2" s="12"/>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274"/>
    </row>
    <row r="3" spans="1:28" x14ac:dyDescent="0.25">
      <c r="A3" s="538"/>
      <c r="B3" s="553"/>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274"/>
    </row>
    <row r="4" spans="1:28" x14ac:dyDescent="0.25">
      <c r="A4" s="6"/>
      <c r="B4" s="6"/>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6"/>
    </row>
    <row r="5" spans="1:28" x14ac:dyDescent="0.25">
      <c r="A5" s="6"/>
      <c r="B5" s="6"/>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6"/>
    </row>
    <row r="6" spans="1:28" ht="29.25" customHeight="1" x14ac:dyDescent="0.25">
      <c r="A6" s="6"/>
      <c r="B6" s="6"/>
      <c r="C6" s="199" t="s">
        <v>90</v>
      </c>
      <c r="D6" s="199"/>
      <c r="E6" s="257" t="s">
        <v>91</v>
      </c>
      <c r="F6" s="257"/>
      <c r="G6" s="257" t="s">
        <v>174</v>
      </c>
      <c r="H6" s="257"/>
      <c r="I6" s="257" t="s">
        <v>253</v>
      </c>
      <c r="J6" s="257"/>
      <c r="K6" s="661" t="s">
        <v>187</v>
      </c>
      <c r="L6" s="257"/>
      <c r="M6" s="257" t="s">
        <v>236</v>
      </c>
      <c r="N6" s="257"/>
      <c r="O6" s="257" t="s">
        <v>193</v>
      </c>
      <c r="P6" s="257"/>
      <c r="Q6" s="422" t="s">
        <v>159</v>
      </c>
      <c r="R6" s="422"/>
      <c r="S6" s="257" t="s">
        <v>209</v>
      </c>
      <c r="T6" s="422"/>
      <c r="U6" s="257" t="s">
        <v>182</v>
      </c>
      <c r="V6" s="257"/>
      <c r="W6" s="257" t="s">
        <v>92</v>
      </c>
      <c r="X6" s="257"/>
      <c r="Y6" s="257" t="s">
        <v>93</v>
      </c>
      <c r="Z6" s="257"/>
      <c r="AA6" s="257" t="s">
        <v>94</v>
      </c>
      <c r="AB6" s="6"/>
    </row>
    <row r="7" spans="1:28" s="14" customFormat="1" x14ac:dyDescent="0.25">
      <c r="A7" s="6"/>
      <c r="B7" s="12" t="s">
        <v>194</v>
      </c>
      <c r="C7" s="534">
        <v>-84100</v>
      </c>
      <c r="D7" s="534">
        <v>0</v>
      </c>
      <c r="E7" s="534">
        <v>22633</v>
      </c>
      <c r="F7" s="534"/>
      <c r="G7" s="534">
        <v>42613</v>
      </c>
      <c r="H7" s="534"/>
      <c r="I7" s="589"/>
      <c r="J7" s="534"/>
      <c r="K7" s="662">
        <f>Lugano!AI29</f>
        <v>-131712.693</v>
      </c>
      <c r="L7" s="534"/>
      <c r="M7" s="589"/>
      <c r="N7" s="534"/>
      <c r="O7" s="534">
        <v>-17741</v>
      </c>
      <c r="P7" s="534"/>
      <c r="Q7" s="534">
        <v>4127</v>
      </c>
      <c r="R7" s="534"/>
      <c r="S7" s="589"/>
      <c r="T7" s="534"/>
      <c r="U7" s="534">
        <v>9662</v>
      </c>
      <c r="V7" s="534"/>
      <c r="W7" s="534">
        <v>7683</v>
      </c>
      <c r="X7" s="534"/>
      <c r="Y7" s="534">
        <v>3406</v>
      </c>
      <c r="Z7" s="534"/>
      <c r="AA7" s="534">
        <f>SUM(C7:Y7)</f>
        <v>-143429.693</v>
      </c>
      <c r="AB7" s="26"/>
    </row>
    <row r="8" spans="1:28" x14ac:dyDescent="0.25">
      <c r="A8" s="6"/>
      <c r="B8" s="6" t="s">
        <v>54</v>
      </c>
      <c r="C8" s="533"/>
      <c r="D8" s="533"/>
      <c r="E8" s="533"/>
      <c r="F8" s="533"/>
      <c r="G8" s="533"/>
      <c r="H8" s="533"/>
      <c r="I8" s="590"/>
      <c r="J8" s="533"/>
      <c r="K8" s="663"/>
      <c r="L8" s="533"/>
      <c r="M8" s="590"/>
      <c r="N8" s="533"/>
      <c r="O8" s="533"/>
      <c r="P8" s="533"/>
      <c r="Q8" s="533"/>
      <c r="R8" s="533"/>
      <c r="S8" s="590"/>
      <c r="T8" s="533"/>
      <c r="U8" s="533"/>
      <c r="V8" s="533"/>
      <c r="W8" s="533"/>
      <c r="X8" s="533"/>
      <c r="Y8" s="533"/>
      <c r="Z8" s="533"/>
      <c r="AA8" s="533"/>
      <c r="AB8" s="26"/>
    </row>
    <row r="9" spans="1:28" x14ac:dyDescent="0.25">
      <c r="A9" s="6"/>
      <c r="B9" s="6" t="s">
        <v>21</v>
      </c>
      <c r="C9" s="535">
        <v>12119</v>
      </c>
      <c r="D9" s="535">
        <v>0</v>
      </c>
      <c r="E9" s="535">
        <v>7125</v>
      </c>
      <c r="F9" s="535"/>
      <c r="G9" s="535">
        <v>6527</v>
      </c>
      <c r="H9" s="535"/>
      <c r="I9" s="591"/>
      <c r="J9" s="535"/>
      <c r="K9" s="664">
        <v>15</v>
      </c>
      <c r="L9" s="535"/>
      <c r="M9" s="591"/>
      <c r="N9" s="535"/>
      <c r="O9" s="535">
        <v>-3878</v>
      </c>
      <c r="P9" s="535"/>
      <c r="Q9" s="535">
        <v>1562</v>
      </c>
      <c r="R9" s="535"/>
      <c r="S9" s="591"/>
      <c r="T9" s="535"/>
      <c r="U9" s="535">
        <v>3174</v>
      </c>
      <c r="V9" s="535"/>
      <c r="W9" s="535">
        <v>3329</v>
      </c>
      <c r="X9" s="535"/>
      <c r="Y9" s="535">
        <v>-480</v>
      </c>
      <c r="Z9" s="535"/>
      <c r="AA9" s="535">
        <f t="shared" ref="AA9:AA20" si="0">SUM(C9:Y9)</f>
        <v>29493</v>
      </c>
      <c r="AB9" s="26"/>
    </row>
    <row r="10" spans="1:28" x14ac:dyDescent="0.25">
      <c r="A10" s="6"/>
      <c r="B10" s="6" t="s">
        <v>195</v>
      </c>
      <c r="C10" s="535">
        <v>83243</v>
      </c>
      <c r="D10" s="535">
        <v>0</v>
      </c>
      <c r="E10" s="535">
        <v>0</v>
      </c>
      <c r="F10" s="535"/>
      <c r="G10" s="535">
        <v>-25</v>
      </c>
      <c r="H10" s="535"/>
      <c r="I10" s="591"/>
      <c r="J10" s="535"/>
      <c r="K10" s="664">
        <v>1793</v>
      </c>
      <c r="L10" s="535"/>
      <c r="M10" s="591"/>
      <c r="N10" s="535"/>
      <c r="O10" s="535">
        <v>-7</v>
      </c>
      <c r="P10" s="535"/>
      <c r="Q10" s="535">
        <v>229</v>
      </c>
      <c r="R10" s="535"/>
      <c r="S10" s="591"/>
      <c r="T10" s="535"/>
      <c r="U10" s="535">
        <v>0</v>
      </c>
      <c r="V10" s="535"/>
      <c r="W10" s="535">
        <v>26</v>
      </c>
      <c r="X10" s="535"/>
      <c r="Y10" s="535">
        <v>0</v>
      </c>
      <c r="Z10" s="535"/>
      <c r="AA10" s="535">
        <f t="shared" si="0"/>
        <v>85259</v>
      </c>
      <c r="AB10" s="26"/>
    </row>
    <row r="11" spans="1:28" x14ac:dyDescent="0.25">
      <c r="A11" s="6"/>
      <c r="B11" s="6" t="s">
        <v>95</v>
      </c>
      <c r="C11" s="535">
        <v>-86151</v>
      </c>
      <c r="D11" s="535">
        <v>0</v>
      </c>
      <c r="E11" s="535">
        <v>13761</v>
      </c>
      <c r="F11" s="535"/>
      <c r="G11" s="535">
        <v>7410</v>
      </c>
      <c r="H11" s="535"/>
      <c r="I11" s="591"/>
      <c r="J11" s="535"/>
      <c r="K11" s="664">
        <v>12773</v>
      </c>
      <c r="L11" s="535"/>
      <c r="M11" s="591"/>
      <c r="N11" s="535"/>
      <c r="O11" s="535">
        <v>7512</v>
      </c>
      <c r="P11" s="535"/>
      <c r="Q11" s="535">
        <v>10282</v>
      </c>
      <c r="R11" s="535"/>
      <c r="S11" s="591"/>
      <c r="T11" s="535"/>
      <c r="U11" s="535">
        <v>10742</v>
      </c>
      <c r="V11" s="535"/>
      <c r="W11" s="535">
        <v>5518</v>
      </c>
      <c r="X11" s="535"/>
      <c r="Y11" s="535">
        <v>18153</v>
      </c>
      <c r="Z11" s="535"/>
      <c r="AA11" s="535">
        <f t="shared" si="0"/>
        <v>0</v>
      </c>
      <c r="AB11" s="26"/>
    </row>
    <row r="12" spans="1:28" x14ac:dyDescent="0.25">
      <c r="A12" s="6"/>
      <c r="B12" s="6" t="s">
        <v>97</v>
      </c>
      <c r="C12" s="535">
        <v>534</v>
      </c>
      <c r="D12" s="535">
        <v>0</v>
      </c>
      <c r="E12" s="535">
        <v>0</v>
      </c>
      <c r="F12" s="535"/>
      <c r="G12" s="535">
        <v>0</v>
      </c>
      <c r="H12" s="535"/>
      <c r="I12" s="591"/>
      <c r="J12" s="535"/>
      <c r="K12" s="664">
        <v>0</v>
      </c>
      <c r="L12" s="535"/>
      <c r="M12" s="591"/>
      <c r="N12" s="535"/>
      <c r="O12" s="535">
        <v>0</v>
      </c>
      <c r="P12" s="535"/>
      <c r="Q12" s="535">
        <v>0</v>
      </c>
      <c r="R12" s="535"/>
      <c r="S12" s="591"/>
      <c r="T12" s="535"/>
      <c r="U12" s="535">
        <v>0</v>
      </c>
      <c r="V12" s="535"/>
      <c r="W12" s="535">
        <v>0</v>
      </c>
      <c r="X12" s="535"/>
      <c r="Y12" s="535">
        <v>0</v>
      </c>
      <c r="Z12" s="535"/>
      <c r="AA12" s="535">
        <f t="shared" si="0"/>
        <v>534</v>
      </c>
      <c r="AB12" s="26"/>
    </row>
    <row r="13" spans="1:28" s="14" customFormat="1" x14ac:dyDescent="0.25">
      <c r="A13" s="12"/>
      <c r="B13" s="6" t="s">
        <v>96</v>
      </c>
      <c r="C13" s="536">
        <v>1491</v>
      </c>
      <c r="D13" s="536">
        <v>0</v>
      </c>
      <c r="E13" s="536">
        <v>22972</v>
      </c>
      <c r="F13" s="536"/>
      <c r="G13" s="536">
        <v>21993</v>
      </c>
      <c r="H13" s="536"/>
      <c r="I13" s="592"/>
      <c r="J13" s="536"/>
      <c r="K13" s="665">
        <v>1467</v>
      </c>
      <c r="L13" s="536"/>
      <c r="M13" s="592"/>
      <c r="N13" s="536"/>
      <c r="O13" s="536">
        <v>10465</v>
      </c>
      <c r="P13" s="536"/>
      <c r="Q13" s="536">
        <v>13374</v>
      </c>
      <c r="R13" s="536"/>
      <c r="S13" s="592"/>
      <c r="T13" s="536"/>
      <c r="U13" s="536">
        <v>16403</v>
      </c>
      <c r="V13" s="536"/>
      <c r="W13" s="536">
        <v>8041</v>
      </c>
      <c r="X13" s="536"/>
      <c r="Y13" s="536">
        <v>20293</v>
      </c>
      <c r="Z13" s="536"/>
      <c r="AA13" s="536">
        <f t="shared" si="0"/>
        <v>116499</v>
      </c>
      <c r="AB13" s="26"/>
    </row>
    <row r="14" spans="1:28" s="14" customFormat="1" x14ac:dyDescent="0.25">
      <c r="A14" s="12"/>
      <c r="B14" s="12" t="s">
        <v>57</v>
      </c>
      <c r="C14" s="535">
        <v>-72866</v>
      </c>
      <c r="D14" s="535">
        <v>0</v>
      </c>
      <c r="E14" s="535">
        <v>66491</v>
      </c>
      <c r="F14" s="535"/>
      <c r="G14" s="535">
        <v>78518</v>
      </c>
      <c r="H14" s="535"/>
      <c r="I14" s="591"/>
      <c r="J14" s="535"/>
      <c r="K14" s="664">
        <f>SUM(K7:K13)</f>
        <v>-115664.693</v>
      </c>
      <c r="L14" s="535"/>
      <c r="M14" s="591"/>
      <c r="N14" s="535"/>
      <c r="O14" s="535">
        <v>-3649</v>
      </c>
      <c r="P14" s="535"/>
      <c r="Q14" s="535">
        <v>29574</v>
      </c>
      <c r="R14" s="535"/>
      <c r="S14" s="591"/>
      <c r="T14" s="535"/>
      <c r="U14" s="535">
        <v>39981</v>
      </c>
      <c r="V14" s="535"/>
      <c r="W14" s="535">
        <v>24597</v>
      </c>
      <c r="X14" s="537"/>
      <c r="Y14" s="535">
        <v>41372</v>
      </c>
      <c r="Z14" s="535"/>
      <c r="AA14" s="535">
        <f t="shared" si="0"/>
        <v>88353.307000000001</v>
      </c>
      <c r="AB14" s="26"/>
    </row>
    <row r="15" spans="1:28" s="14" customFormat="1" x14ac:dyDescent="0.25">
      <c r="A15" s="12"/>
      <c r="B15" s="6" t="s">
        <v>163</v>
      </c>
      <c r="C15" s="535">
        <v>-59</v>
      </c>
      <c r="D15" s="535">
        <v>0</v>
      </c>
      <c r="E15" s="535">
        <v>-217</v>
      </c>
      <c r="F15" s="535"/>
      <c r="G15" s="535">
        <v>1043</v>
      </c>
      <c r="H15" s="535"/>
      <c r="I15" s="591"/>
      <c r="J15" s="535"/>
      <c r="K15" s="664">
        <v>66535</v>
      </c>
      <c r="L15" s="535"/>
      <c r="M15" s="591"/>
      <c r="N15" s="535"/>
      <c r="O15" s="535">
        <v>112</v>
      </c>
      <c r="P15" s="535"/>
      <c r="Q15" s="535">
        <v>2417</v>
      </c>
      <c r="R15" s="535"/>
      <c r="S15" s="591"/>
      <c r="T15" s="535"/>
      <c r="U15" s="535">
        <v>766</v>
      </c>
      <c r="V15" s="535"/>
      <c r="W15" s="535">
        <v>-20</v>
      </c>
      <c r="X15" s="535"/>
      <c r="Y15" s="535">
        <v>-1730</v>
      </c>
      <c r="Z15" s="535"/>
      <c r="AA15" s="535">
        <f t="shared" si="0"/>
        <v>68847</v>
      </c>
      <c r="AB15" s="26"/>
    </row>
    <row r="16" spans="1:28" x14ac:dyDescent="0.25">
      <c r="A16" s="6"/>
      <c r="B16" s="6" t="s">
        <v>59</v>
      </c>
      <c r="C16" s="535">
        <v>0</v>
      </c>
      <c r="D16" s="535">
        <v>0</v>
      </c>
      <c r="E16" s="535">
        <v>1511</v>
      </c>
      <c r="F16" s="535"/>
      <c r="G16" s="535">
        <v>2511</v>
      </c>
      <c r="H16" s="535"/>
      <c r="I16" s="591"/>
      <c r="J16" s="535"/>
      <c r="K16" s="664">
        <v>1179</v>
      </c>
      <c r="L16" s="535"/>
      <c r="M16" s="591"/>
      <c r="N16" s="535"/>
      <c r="O16" s="535">
        <v>2142</v>
      </c>
      <c r="P16" s="535"/>
      <c r="Q16" s="535">
        <v>971</v>
      </c>
      <c r="R16" s="535"/>
      <c r="S16" s="591"/>
      <c r="T16" s="535"/>
      <c r="U16" s="535">
        <v>1321</v>
      </c>
      <c r="V16" s="535"/>
      <c r="W16" s="535">
        <v>40</v>
      </c>
      <c r="X16" s="535"/>
      <c r="Y16" s="535">
        <v>843.976</v>
      </c>
      <c r="Z16" s="535"/>
      <c r="AA16" s="535">
        <f t="shared" si="0"/>
        <v>10518.976000000001</v>
      </c>
      <c r="AB16" s="26"/>
    </row>
    <row r="17" spans="1:28" x14ac:dyDescent="0.25">
      <c r="A17" s="6"/>
      <c r="B17" s="6" t="s">
        <v>71</v>
      </c>
      <c r="C17" s="535">
        <v>0</v>
      </c>
      <c r="D17" s="535"/>
      <c r="E17" s="535">
        <v>0</v>
      </c>
      <c r="F17" s="535"/>
      <c r="G17" s="535">
        <v>0</v>
      </c>
      <c r="H17" s="535"/>
      <c r="I17" s="591"/>
      <c r="J17" s="535"/>
      <c r="K17" s="664">
        <v>28602</v>
      </c>
      <c r="L17" s="535"/>
      <c r="M17" s="591"/>
      <c r="N17" s="535"/>
      <c r="O17" s="535">
        <v>0</v>
      </c>
      <c r="P17" s="535"/>
      <c r="Q17" s="535">
        <v>0</v>
      </c>
      <c r="R17" s="535"/>
      <c r="S17" s="591"/>
      <c r="T17" s="535"/>
      <c r="U17" s="535">
        <v>0</v>
      </c>
      <c r="V17" s="535"/>
      <c r="W17" s="535">
        <v>0</v>
      </c>
      <c r="X17" s="535"/>
      <c r="Y17" s="535">
        <v>0</v>
      </c>
      <c r="Z17" s="535"/>
      <c r="AA17" s="535">
        <f t="shared" si="0"/>
        <v>28602</v>
      </c>
      <c r="AB17" s="26"/>
    </row>
    <row r="18" spans="1:28" x14ac:dyDescent="0.25">
      <c r="A18" s="6"/>
      <c r="B18" s="6" t="s">
        <v>98</v>
      </c>
      <c r="C18" s="535">
        <v>0</v>
      </c>
      <c r="D18" s="535">
        <v>0</v>
      </c>
      <c r="E18" s="535">
        <v>0</v>
      </c>
      <c r="F18" s="535"/>
      <c r="G18" s="535">
        <v>0</v>
      </c>
      <c r="H18" s="535"/>
      <c r="I18" s="591"/>
      <c r="J18" s="535"/>
      <c r="K18" s="664">
        <v>0</v>
      </c>
      <c r="L18" s="535"/>
      <c r="M18" s="591"/>
      <c r="N18" s="535"/>
      <c r="O18" s="535">
        <v>5680</v>
      </c>
      <c r="P18" s="535"/>
      <c r="Q18" s="535">
        <v>222</v>
      </c>
      <c r="R18" s="535"/>
      <c r="S18" s="591"/>
      <c r="T18" s="535"/>
      <c r="U18" s="535">
        <v>216</v>
      </c>
      <c r="V18" s="535"/>
      <c r="W18" s="535">
        <v>0</v>
      </c>
      <c r="X18" s="535"/>
      <c r="Y18" s="535">
        <v>0</v>
      </c>
      <c r="Z18" s="535"/>
      <c r="AA18" s="535">
        <f t="shared" si="0"/>
        <v>6118</v>
      </c>
      <c r="AB18" s="26"/>
    </row>
    <row r="19" spans="1:28" x14ac:dyDescent="0.25">
      <c r="A19" s="6"/>
      <c r="B19" s="6" t="s">
        <v>157</v>
      </c>
      <c r="C19" s="535">
        <v>0</v>
      </c>
      <c r="D19" s="535">
        <v>0</v>
      </c>
      <c r="E19" s="535">
        <v>0</v>
      </c>
      <c r="F19" s="535"/>
      <c r="G19" s="535">
        <v>0</v>
      </c>
      <c r="H19" s="535"/>
      <c r="I19" s="591"/>
      <c r="J19" s="535"/>
      <c r="K19" s="664">
        <v>1687.5</v>
      </c>
      <c r="L19" s="535"/>
      <c r="M19" s="591"/>
      <c r="N19" s="535"/>
      <c r="O19" s="535">
        <v>2375</v>
      </c>
      <c r="P19" s="535"/>
      <c r="Q19" s="535">
        <v>0</v>
      </c>
      <c r="R19" s="535"/>
      <c r="S19" s="591"/>
      <c r="T19" s="535"/>
      <c r="U19" s="535">
        <v>0</v>
      </c>
      <c r="V19" s="535"/>
      <c r="W19" s="535">
        <v>0</v>
      </c>
      <c r="X19" s="535"/>
      <c r="Y19" s="535">
        <v>0</v>
      </c>
      <c r="Z19" s="535"/>
      <c r="AA19" s="535">
        <f t="shared" si="0"/>
        <v>4062.5</v>
      </c>
      <c r="AB19" s="26"/>
    </row>
    <row r="20" spans="1:28" x14ac:dyDescent="0.25">
      <c r="A20" s="6"/>
      <c r="B20" s="6" t="s">
        <v>34</v>
      </c>
      <c r="C20" s="540">
        <v>0</v>
      </c>
      <c r="D20" s="540">
        <v>0</v>
      </c>
      <c r="E20" s="540">
        <v>0</v>
      </c>
      <c r="F20" s="540"/>
      <c r="G20" s="540">
        <v>0</v>
      </c>
      <c r="H20" s="540"/>
      <c r="I20" s="593"/>
      <c r="J20" s="540"/>
      <c r="K20" s="666">
        <v>0</v>
      </c>
      <c r="L20" s="540"/>
      <c r="M20" s="593"/>
      <c r="N20" s="540"/>
      <c r="O20" s="540">
        <v>0</v>
      </c>
      <c r="P20" s="540"/>
      <c r="Q20" s="540">
        <v>0</v>
      </c>
      <c r="R20" s="540"/>
      <c r="S20" s="593"/>
      <c r="T20" s="540"/>
      <c r="U20" s="540">
        <v>0</v>
      </c>
      <c r="V20" s="540"/>
      <c r="W20" s="540">
        <v>0</v>
      </c>
      <c r="X20" s="540"/>
      <c r="Y20" s="540">
        <v>1330</v>
      </c>
      <c r="Z20" s="540"/>
      <c r="AA20" s="540">
        <f t="shared" si="0"/>
        <v>1330</v>
      </c>
      <c r="AB20" s="26"/>
    </row>
    <row r="21" spans="1:28" s="14" customFormat="1" ht="15.75" thickBot="1" x14ac:dyDescent="0.3">
      <c r="A21" s="12"/>
      <c r="B21" s="12" t="s">
        <v>65</v>
      </c>
      <c r="C21" s="242">
        <f>(SUM(C14:C20))</f>
        <v>-72925</v>
      </c>
      <c r="D21" s="242">
        <v>0</v>
      </c>
      <c r="E21" s="242">
        <f t="shared" ref="E21:G21" si="1">(SUM(E14:E20))</f>
        <v>67785</v>
      </c>
      <c r="F21" s="242">
        <f t="shared" si="1"/>
        <v>0</v>
      </c>
      <c r="G21" s="242">
        <f t="shared" si="1"/>
        <v>82072</v>
      </c>
      <c r="H21" s="242">
        <f t="shared" ref="H21:AA21" si="2">(SUM(H14:H20))</f>
        <v>0</v>
      </c>
      <c r="I21" s="594">
        <f t="shared" si="2"/>
        <v>0</v>
      </c>
      <c r="J21" s="242">
        <f t="shared" si="2"/>
        <v>0</v>
      </c>
      <c r="K21" s="667">
        <f t="shared" si="2"/>
        <v>-17661.192999999999</v>
      </c>
      <c r="L21" s="242">
        <f t="shared" si="2"/>
        <v>0</v>
      </c>
      <c r="M21" s="594"/>
      <c r="N21" s="242"/>
      <c r="O21" s="242">
        <f t="shared" si="2"/>
        <v>6660</v>
      </c>
      <c r="P21" s="242">
        <f t="shared" si="2"/>
        <v>0</v>
      </c>
      <c r="Q21" s="242">
        <f t="shared" si="2"/>
        <v>33184</v>
      </c>
      <c r="R21" s="242">
        <f t="shared" si="2"/>
        <v>0</v>
      </c>
      <c r="S21" s="594"/>
      <c r="T21" s="242">
        <f t="shared" si="2"/>
        <v>0</v>
      </c>
      <c r="U21" s="242">
        <f t="shared" si="2"/>
        <v>42284</v>
      </c>
      <c r="V21" s="242">
        <f t="shared" si="2"/>
        <v>0</v>
      </c>
      <c r="W21" s="242">
        <f t="shared" si="2"/>
        <v>24617</v>
      </c>
      <c r="X21" s="242">
        <f t="shared" si="2"/>
        <v>0</v>
      </c>
      <c r="Y21" s="242">
        <f t="shared" si="2"/>
        <v>41815.976000000002</v>
      </c>
      <c r="Z21" s="242">
        <f t="shared" si="2"/>
        <v>0</v>
      </c>
      <c r="AA21" s="242">
        <f t="shared" si="2"/>
        <v>207831.783</v>
      </c>
      <c r="AB21" s="26"/>
    </row>
    <row r="22" spans="1:28" ht="15.75" thickTop="1" x14ac:dyDescent="0.25">
      <c r="A22" s="6"/>
      <c r="B22" s="6"/>
      <c r="C22" s="258"/>
      <c r="D22" s="258"/>
      <c r="E22" s="22"/>
      <c r="F22" s="22"/>
      <c r="G22" s="22"/>
      <c r="H22" s="22"/>
      <c r="I22" s="22"/>
      <c r="J22" s="22"/>
      <c r="K22" s="668"/>
      <c r="L22" s="22"/>
      <c r="M22" s="22"/>
      <c r="N22" s="22"/>
      <c r="O22" s="22"/>
      <c r="P22" s="22"/>
      <c r="Q22" s="22"/>
      <c r="R22" s="22"/>
      <c r="S22" s="22"/>
      <c r="T22" s="22"/>
      <c r="U22" s="22"/>
      <c r="V22" s="22"/>
      <c r="W22" s="22"/>
      <c r="X22" s="22"/>
      <c r="Y22" s="22"/>
      <c r="Z22" s="22"/>
      <c r="AA22" s="22"/>
      <c r="AB22" s="6"/>
    </row>
    <row r="23" spans="1:28" x14ac:dyDescent="0.25">
      <c r="A23" s="6"/>
      <c r="B23" s="831" t="s">
        <v>252</v>
      </c>
      <c r="C23" s="831"/>
      <c r="D23" s="831"/>
      <c r="E23" s="831"/>
      <c r="F23" s="831"/>
      <c r="G23" s="831"/>
      <c r="H23" s="831"/>
      <c r="I23" s="831"/>
      <c r="J23" s="831"/>
      <c r="K23" s="831"/>
      <c r="L23" s="831"/>
      <c r="M23" s="831"/>
      <c r="N23" s="831"/>
      <c r="O23" s="831"/>
      <c r="P23" s="831"/>
      <c r="Q23" s="831"/>
      <c r="R23" s="831"/>
      <c r="S23" s="831"/>
      <c r="T23" s="831"/>
      <c r="U23" s="831"/>
      <c r="V23" s="831"/>
      <c r="W23" s="831"/>
      <c r="X23" s="831"/>
      <c r="Y23" s="831"/>
      <c r="Z23" s="22"/>
      <c r="AA23" s="22"/>
      <c r="AB23" s="6"/>
    </row>
    <row r="24" spans="1:28" x14ac:dyDescent="0.25">
      <c r="A24" s="6"/>
      <c r="B24" s="831"/>
      <c r="C24" s="831"/>
      <c r="D24" s="831"/>
      <c r="E24" s="831"/>
      <c r="F24" s="831"/>
      <c r="G24" s="831"/>
      <c r="H24" s="831"/>
      <c r="I24" s="831"/>
      <c r="J24" s="831"/>
      <c r="K24" s="831"/>
      <c r="L24" s="831"/>
      <c r="M24" s="831"/>
      <c r="N24" s="831"/>
      <c r="O24" s="831"/>
      <c r="P24" s="831"/>
      <c r="Q24" s="831"/>
      <c r="R24" s="831"/>
      <c r="S24" s="831"/>
      <c r="T24" s="831"/>
      <c r="U24" s="831"/>
      <c r="V24" s="831"/>
      <c r="W24" s="831"/>
      <c r="X24" s="831"/>
      <c r="Y24" s="831"/>
      <c r="Z24" s="22"/>
      <c r="AA24" s="22"/>
      <c r="AB24" s="6"/>
    </row>
    <row r="25" spans="1:28" hidden="1" outlineLevel="1" x14ac:dyDescent="0.25">
      <c r="B25" s="548" t="s">
        <v>200</v>
      </c>
      <c r="C25" s="4"/>
      <c r="D25" s="4"/>
      <c r="E25" s="4"/>
      <c r="F25" s="4"/>
      <c r="G25" s="4"/>
      <c r="H25" s="4"/>
      <c r="I25" s="4"/>
      <c r="J25" s="4"/>
      <c r="K25" s="4"/>
      <c r="L25" s="4"/>
      <c r="M25" s="4"/>
      <c r="N25" s="4"/>
      <c r="O25" s="4"/>
      <c r="P25" s="4"/>
      <c r="Q25" s="4"/>
      <c r="R25" s="4"/>
      <c r="S25" s="4"/>
      <c r="T25" s="4"/>
      <c r="U25" s="4"/>
      <c r="V25" s="4"/>
      <c r="W25" s="4"/>
      <c r="X25" s="4"/>
      <c r="Y25" s="4"/>
      <c r="Z25" s="4"/>
      <c r="AA25" s="4"/>
    </row>
    <row r="26" spans="1:28" s="66" customFormat="1" hidden="1" outlineLevel="1" x14ac:dyDescent="0.25">
      <c r="B26" s="66" t="s">
        <v>57</v>
      </c>
      <c r="C26" s="66">
        <f>SUM(C7:C13)-C14</f>
        <v>2</v>
      </c>
      <c r="E26" s="66">
        <f>SUM(E7:E13)-E14</f>
        <v>0</v>
      </c>
      <c r="G26" s="66">
        <f>SUM(G7:G13)-G14</f>
        <v>0</v>
      </c>
      <c r="I26" s="66">
        <f>SUM(I7:I13)-I14</f>
        <v>0</v>
      </c>
      <c r="K26" s="66">
        <f>SUM(K7:K13)-K14</f>
        <v>0</v>
      </c>
      <c r="M26" s="66">
        <f>SUM(M7:M13)-M14</f>
        <v>0</v>
      </c>
      <c r="O26" s="66">
        <f>SUM(O7:O13)-O14</f>
        <v>0</v>
      </c>
      <c r="Q26" s="66">
        <f>SUM(Q7:Q13)-Q14</f>
        <v>0</v>
      </c>
      <c r="S26" s="66">
        <f>SUM(S7:S13)-S14</f>
        <v>0</v>
      </c>
      <c r="U26" s="66">
        <f>SUM(U7:U13)-U14</f>
        <v>0</v>
      </c>
      <c r="W26" s="66">
        <f>SUM(W7:W13)-W14</f>
        <v>0</v>
      </c>
      <c r="Y26" s="66">
        <f>SUM(Y7:Y13)-Y14</f>
        <v>0</v>
      </c>
      <c r="AA26" s="66">
        <f>SUM(AA7:AA13)-AA14</f>
        <v>2</v>
      </c>
    </row>
    <row r="27" spans="1:28" s="66" customFormat="1" hidden="1" outlineLevel="1" x14ac:dyDescent="0.25">
      <c r="B27" s="66" t="s">
        <v>65</v>
      </c>
      <c r="C27" s="66">
        <f>SUM(C14:C20)-C21</f>
        <v>0</v>
      </c>
      <c r="E27" s="66">
        <f>SUM(E14:E20)-E21</f>
        <v>0</v>
      </c>
      <c r="G27" s="66">
        <f>SUM(G14:G20)-G21</f>
        <v>0</v>
      </c>
      <c r="I27" s="66">
        <f>SUM(I14:I20)-I21</f>
        <v>0</v>
      </c>
      <c r="K27" s="66">
        <f>SUM(K14:K20)-K21</f>
        <v>0</v>
      </c>
      <c r="M27" s="66">
        <f>SUM(M14:M20)-M21</f>
        <v>0</v>
      </c>
      <c r="O27" s="66">
        <f>SUM(O14:O20)-O21</f>
        <v>0</v>
      </c>
      <c r="Q27" s="66">
        <f>SUM(Q14:Q20)-Q21</f>
        <v>0</v>
      </c>
      <c r="S27" s="66">
        <f>SUM(S14:S20)-S21</f>
        <v>0</v>
      </c>
      <c r="U27" s="66">
        <f>SUM(U14:U20)-U21</f>
        <v>0</v>
      </c>
      <c r="W27" s="66">
        <f>SUM(W14:W20)-W21</f>
        <v>0</v>
      </c>
      <c r="Y27" s="66">
        <f>SUM(Y14:Y20)-Y21</f>
        <v>0</v>
      </c>
      <c r="AA27" s="66">
        <f>SUM(AA14:AA20)-AA21</f>
        <v>0</v>
      </c>
    </row>
    <row r="28" spans="1:28" s="66" customFormat="1" hidden="1" outlineLevel="1" x14ac:dyDescent="0.25"/>
    <row r="29" spans="1:28" s="66" customFormat="1" ht="17.25" hidden="1" outlineLevel="1" x14ac:dyDescent="0.4">
      <c r="B29" s="547" t="s">
        <v>191</v>
      </c>
    </row>
    <row r="30" spans="1:28" s="66" customFormat="1" hidden="1" outlineLevel="1" x14ac:dyDescent="0.25">
      <c r="B30" s="66" t="s">
        <v>24</v>
      </c>
      <c r="E30" s="66">
        <f>E7-'5.11 Tactical'!AK29</f>
        <v>0</v>
      </c>
      <c r="G30" s="66">
        <f>G7-'BOA Technology'!AK29</f>
        <v>0</v>
      </c>
      <c r="K30" s="66">
        <f>K7-Lugano!AI29</f>
        <v>0</v>
      </c>
      <c r="O30" s="66">
        <f>O7-PrimaLoft!AH29</f>
        <v>0</v>
      </c>
      <c r="Q30" s="66">
        <f>Q7-'Velocity Outdoor'!AK29</f>
        <v>0</v>
      </c>
      <c r="U30" s="66">
        <f>U7-'Altor Solutions'!AK30</f>
        <v>0</v>
      </c>
      <c r="W30" s="66">
        <f>W7-'Arnold Magnetic'!AK29</f>
        <v>0</v>
      </c>
      <c r="Y30" s="66">
        <f>Y7-'Sterno Group'!AK30</f>
        <v>0</v>
      </c>
    </row>
    <row r="31" spans="1:28" s="66" customFormat="1" hidden="1" outlineLevel="1" x14ac:dyDescent="0.25">
      <c r="B31" s="66" t="s">
        <v>57</v>
      </c>
      <c r="E31" s="66">
        <f>E14-'5.11 Tactical'!AK36</f>
        <v>0</v>
      </c>
      <c r="G31" s="66">
        <f>G14-'BOA Technology'!AK36</f>
        <v>0</v>
      </c>
      <c r="K31" s="66">
        <f>K14-Lugano!AI36</f>
        <v>-4.5999999987543561E-2</v>
      </c>
      <c r="O31" s="66">
        <f>O14-PrimaLoft!AH36</f>
        <v>0</v>
      </c>
      <c r="Q31" s="66">
        <f>Q14-'Velocity Outdoor'!AK36</f>
        <v>0</v>
      </c>
      <c r="U31" s="66">
        <f>U14-'Altor Solutions'!AK37</f>
        <v>0</v>
      </c>
      <c r="W31" s="66">
        <f>W14-'Arnold Magnetic'!AK36</f>
        <v>0</v>
      </c>
      <c r="Y31" s="66">
        <f>Y14-'Sterno Group'!AK37</f>
        <v>0</v>
      </c>
    </row>
    <row r="32" spans="1:28" s="66" customFormat="1" hidden="1" outlineLevel="1" x14ac:dyDescent="0.25">
      <c r="B32" s="66" t="s">
        <v>65</v>
      </c>
      <c r="E32" s="66">
        <f>E21-'5.11 Tactical'!AK44</f>
        <v>0</v>
      </c>
      <c r="G32" s="66">
        <f>G21-'BOA Technology'!AK44</f>
        <v>0</v>
      </c>
      <c r="K32" s="66">
        <f>K21-Lugano!AI44</f>
        <v>-0.18299999998998828</v>
      </c>
      <c r="O32" s="66">
        <f>O21-PrimaLoft!AH44</f>
        <v>0</v>
      </c>
      <c r="Q32" s="66">
        <f>Q21-'Velocity Outdoor'!AK44</f>
        <v>0</v>
      </c>
      <c r="U32" s="66">
        <f>U21-'Altor Solutions'!AK45</f>
        <v>0</v>
      </c>
      <c r="W32" s="66">
        <f>W21-'Arnold Magnetic'!AK44</f>
        <v>0</v>
      </c>
      <c r="Y32" s="66">
        <f>Y21-'Sterno Group'!AK45</f>
        <v>0</v>
      </c>
    </row>
    <row r="33" collapsed="1" x14ac:dyDescent="0.25"/>
  </sheetData>
  <mergeCells count="1">
    <mergeCell ref="B23:Y24"/>
  </mergeCells>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pageSetUpPr fitToPage="1"/>
  </sheetPr>
  <dimension ref="A1:AE26"/>
  <sheetViews>
    <sheetView workbookViewId="0">
      <selection activeCell="J28" sqref="J28"/>
    </sheetView>
  </sheetViews>
  <sheetFormatPr defaultColWidth="9.140625" defaultRowHeight="15" x14ac:dyDescent="0.25"/>
  <cols>
    <col min="1" max="1" width="37.42578125" style="77" customWidth="1"/>
    <col min="2" max="3" width="24.7109375" style="77" customWidth="1"/>
    <col min="4" max="4" width="4.5703125" style="77" customWidth="1"/>
    <col min="5" max="5" width="24.7109375" style="77" customWidth="1"/>
    <col min="6" max="6" width="25.28515625" style="77" customWidth="1"/>
    <col min="7" max="7" width="4.5703125" style="77" customWidth="1"/>
    <col min="8" max="8" width="27.5703125" style="77" customWidth="1"/>
    <col min="9" max="9" width="4.7109375" style="77" customWidth="1"/>
    <col min="10" max="10" width="26.28515625" style="77" customWidth="1"/>
    <col min="11" max="11" width="13.5703125" style="77" customWidth="1"/>
    <col min="12" max="12" width="5.140625" style="77" customWidth="1"/>
    <col min="13" max="14" width="17.5703125" style="77" customWidth="1"/>
    <col min="15" max="15" width="5" style="77" customWidth="1"/>
    <col min="16" max="17" width="17.5703125" style="77" customWidth="1"/>
    <col min="18" max="18" width="5" style="77" customWidth="1"/>
    <col min="19" max="20" width="17.5703125" style="77" customWidth="1"/>
    <col min="21" max="21" width="5" style="77" customWidth="1"/>
    <col min="22" max="23" width="17.5703125" style="77" customWidth="1"/>
    <col min="24" max="24" width="5" style="77" customWidth="1"/>
    <col min="25" max="26" width="17.5703125" style="77" customWidth="1"/>
    <col min="27" max="27" width="5" style="77" customWidth="1"/>
    <col min="28" max="29" width="17.5703125" style="77" customWidth="1"/>
    <col min="30" max="30" width="5" style="77" customWidth="1"/>
    <col min="31" max="31" width="35.5703125" style="77" bestFit="1" customWidth="1"/>
    <col min="32" max="16384" width="9.140625" style="77"/>
  </cols>
  <sheetData>
    <row r="1" spans="1:31" x14ac:dyDescent="0.25">
      <c r="A1" s="89" t="s">
        <v>99</v>
      </c>
      <c r="B1" s="89"/>
      <c r="C1" s="89"/>
      <c r="D1" s="89"/>
      <c r="E1" s="89"/>
      <c r="F1" s="89"/>
      <c r="G1" s="89"/>
      <c r="H1" s="89"/>
      <c r="I1" s="89"/>
    </row>
    <row r="6" spans="1:31" ht="15" customHeight="1" x14ac:dyDescent="0.25">
      <c r="B6" s="352" t="s">
        <v>190</v>
      </c>
      <c r="C6" s="268"/>
      <c r="E6" s="352" t="s">
        <v>167</v>
      </c>
      <c r="F6" s="268"/>
      <c r="H6" s="352" t="s">
        <v>162</v>
      </c>
      <c r="J6" s="267" t="s">
        <v>100</v>
      </c>
      <c r="K6" s="268"/>
      <c r="M6" s="267" t="s">
        <v>101</v>
      </c>
      <c r="N6" s="268"/>
      <c r="P6" s="267" t="s">
        <v>102</v>
      </c>
      <c r="Q6" s="268"/>
      <c r="S6" s="267" t="s">
        <v>103</v>
      </c>
      <c r="T6" s="268"/>
      <c r="V6" s="267" t="s">
        <v>104</v>
      </c>
      <c r="W6" s="268"/>
      <c r="Y6" s="267" t="s">
        <v>105</v>
      </c>
      <c r="Z6" s="268"/>
      <c r="AB6" s="267" t="s">
        <v>106</v>
      </c>
      <c r="AC6" s="268"/>
      <c r="AE6" s="251" t="s">
        <v>107</v>
      </c>
    </row>
    <row r="7" spans="1:31" ht="15" customHeight="1" x14ac:dyDescent="0.25">
      <c r="B7" s="412" t="s">
        <v>108</v>
      </c>
      <c r="C7" s="417"/>
      <c r="E7" s="412" t="s">
        <v>108</v>
      </c>
      <c r="F7" s="417"/>
      <c r="H7" s="353" t="s">
        <v>108</v>
      </c>
      <c r="J7" s="269" t="s">
        <v>108</v>
      </c>
      <c r="K7" s="270"/>
      <c r="M7" s="269" t="s">
        <v>108</v>
      </c>
      <c r="N7" s="270"/>
      <c r="P7" s="269" t="s">
        <v>108</v>
      </c>
      <c r="Q7" s="270"/>
      <c r="S7" s="269" t="s">
        <v>108</v>
      </c>
      <c r="T7" s="270"/>
      <c r="V7" s="269" t="s">
        <v>108</v>
      </c>
      <c r="W7" s="270"/>
      <c r="Y7" s="269" t="s">
        <v>108</v>
      </c>
      <c r="Z7" s="270"/>
      <c r="AB7" s="269" t="s">
        <v>108</v>
      </c>
      <c r="AC7" s="270"/>
      <c r="AE7" s="252" t="s">
        <v>108</v>
      </c>
    </row>
    <row r="8" spans="1:31" s="115" customFormat="1" x14ac:dyDescent="0.25">
      <c r="B8" s="413" t="s">
        <v>7</v>
      </c>
      <c r="C8" s="414" t="s">
        <v>6</v>
      </c>
      <c r="E8" s="413" t="s">
        <v>5</v>
      </c>
      <c r="F8" s="414" t="s">
        <v>4</v>
      </c>
      <c r="H8" s="227" t="s">
        <v>153</v>
      </c>
      <c r="J8" s="225" t="s">
        <v>6</v>
      </c>
      <c r="K8" s="226" t="s">
        <v>7</v>
      </c>
      <c r="M8" s="225" t="s">
        <v>6</v>
      </c>
      <c r="N8" s="226" t="s">
        <v>7</v>
      </c>
      <c r="P8" s="225" t="s">
        <v>6</v>
      </c>
      <c r="Q8" s="226" t="s">
        <v>7</v>
      </c>
      <c r="S8" s="225" t="s">
        <v>4</v>
      </c>
      <c r="T8" s="226" t="s">
        <v>5</v>
      </c>
      <c r="V8" s="225" t="s">
        <v>8</v>
      </c>
      <c r="W8" s="226" t="s">
        <v>9</v>
      </c>
      <c r="Y8" s="225" t="s">
        <v>4</v>
      </c>
      <c r="Z8" s="226" t="s">
        <v>5</v>
      </c>
      <c r="AB8" s="225" t="s">
        <v>4</v>
      </c>
      <c r="AC8" s="226" t="s">
        <v>5</v>
      </c>
      <c r="AE8" s="227" t="s">
        <v>109</v>
      </c>
    </row>
    <row r="9" spans="1:31" x14ac:dyDescent="0.25">
      <c r="A9" s="89" t="s">
        <v>10</v>
      </c>
      <c r="B9" s="228">
        <v>-75753</v>
      </c>
      <c r="C9" s="229">
        <v>-10827</v>
      </c>
      <c r="D9" s="89"/>
      <c r="E9" s="228">
        <v>-132737</v>
      </c>
      <c r="F9" s="229">
        <v>-69105</v>
      </c>
      <c r="G9" s="89"/>
      <c r="H9" s="231">
        <v>-10025</v>
      </c>
      <c r="I9" s="89"/>
      <c r="J9" s="228">
        <v>-15979</v>
      </c>
      <c r="K9" s="229">
        <v>-45951</v>
      </c>
      <c r="L9" s="230"/>
      <c r="M9" s="228">
        <v>-39068</v>
      </c>
      <c r="N9" s="229">
        <v>-122420</v>
      </c>
      <c r="O9" s="230"/>
      <c r="P9" s="228">
        <v>-17023</v>
      </c>
      <c r="Q9" s="229">
        <v>-96519</v>
      </c>
      <c r="R9" s="230"/>
      <c r="S9" s="228">
        <v>-14177</v>
      </c>
      <c r="T9" s="229">
        <v>-51253</v>
      </c>
      <c r="U9" s="230"/>
      <c r="V9" s="228">
        <v>-50948</v>
      </c>
      <c r="W9" s="229">
        <v>-831028</v>
      </c>
      <c r="X9" s="230"/>
      <c r="Y9" s="228">
        <v>-6000</v>
      </c>
      <c r="Z9" s="229">
        <v>-11465</v>
      </c>
      <c r="AA9" s="230"/>
      <c r="AB9" s="228">
        <v>-18138</v>
      </c>
      <c r="AC9" s="229">
        <v>-34293</v>
      </c>
      <c r="AD9" s="230"/>
      <c r="AE9" s="231">
        <v>-72316</v>
      </c>
    </row>
    <row r="10" spans="1:31" s="115" customFormat="1" x14ac:dyDescent="0.25">
      <c r="A10" s="89" t="s">
        <v>11</v>
      </c>
      <c r="B10" s="253">
        <v>-55624</v>
      </c>
      <c r="C10" s="254">
        <v>-8474</v>
      </c>
      <c r="D10" s="89"/>
      <c r="E10" s="253">
        <v>-93058</v>
      </c>
      <c r="F10" s="254">
        <v>-46060</v>
      </c>
      <c r="G10" s="89"/>
      <c r="H10" s="256">
        <v>-5151</v>
      </c>
      <c r="I10" s="89"/>
      <c r="J10" s="253">
        <v>-12770</v>
      </c>
      <c r="K10" s="254">
        <v>-38049</v>
      </c>
      <c r="L10" s="255"/>
      <c r="M10" s="253">
        <v>-35413</v>
      </c>
      <c r="N10" s="254">
        <v>-110807</v>
      </c>
      <c r="O10" s="255"/>
      <c r="P10" s="253">
        <v>-9740</v>
      </c>
      <c r="Q10" s="254">
        <v>-55104</v>
      </c>
      <c r="R10" s="255"/>
      <c r="S10" s="253">
        <v>-8566</v>
      </c>
      <c r="T10" s="254">
        <v>-30736</v>
      </c>
      <c r="U10" s="255"/>
      <c r="V10" s="253">
        <v>-43670</v>
      </c>
      <c r="W10" s="254">
        <v>-714085</v>
      </c>
      <c r="X10" s="255"/>
      <c r="Y10" s="253">
        <v>-1203</v>
      </c>
      <c r="Z10" s="254">
        <v>-2158</v>
      </c>
      <c r="AA10" s="255"/>
      <c r="AB10" s="253">
        <v>-10296</v>
      </c>
      <c r="AC10" s="254">
        <v>-19817</v>
      </c>
      <c r="AD10" s="255"/>
      <c r="AE10" s="256">
        <v>-50607</v>
      </c>
    </row>
    <row r="11" spans="1:31" x14ac:dyDescent="0.25">
      <c r="A11" s="89" t="s">
        <v>12</v>
      </c>
      <c r="B11" s="228">
        <v>-20129</v>
      </c>
      <c r="C11" s="229">
        <v>-2353</v>
      </c>
      <c r="D11" s="89"/>
      <c r="E11" s="228">
        <f>E9-E10</f>
        <v>-39679</v>
      </c>
      <c r="F11" s="229">
        <f>F9-F10</f>
        <v>-23045</v>
      </c>
      <c r="G11" s="89"/>
      <c r="H11" s="231">
        <f>H9-H10</f>
        <v>-4874</v>
      </c>
      <c r="I11" s="89"/>
      <c r="J11" s="228">
        <v>-3209</v>
      </c>
      <c r="K11" s="229">
        <v>-7902</v>
      </c>
      <c r="L11" s="230"/>
      <c r="M11" s="228">
        <v>-3655</v>
      </c>
      <c r="N11" s="229">
        <v>-11613</v>
      </c>
      <c r="O11" s="230"/>
      <c r="P11" s="228">
        <v>-7283</v>
      </c>
      <c r="Q11" s="229">
        <v>-41415</v>
      </c>
      <c r="R11" s="230"/>
      <c r="S11" s="228">
        <v>-5611</v>
      </c>
      <c r="T11" s="229">
        <v>-20517</v>
      </c>
      <c r="U11" s="230"/>
      <c r="V11" s="228">
        <v>-7278</v>
      </c>
      <c r="W11" s="229">
        <v>-116943</v>
      </c>
      <c r="X11" s="230"/>
      <c r="Y11" s="228">
        <v>-4797</v>
      </c>
      <c r="Z11" s="229">
        <v>-9307</v>
      </c>
      <c r="AA11" s="230"/>
      <c r="AB11" s="228">
        <v>-7842</v>
      </c>
      <c r="AC11" s="229">
        <v>-14476</v>
      </c>
      <c r="AD11" s="230"/>
      <c r="AE11" s="231">
        <v>-21709</v>
      </c>
    </row>
    <row r="12" spans="1:31" x14ac:dyDescent="0.25">
      <c r="A12" s="77" t="s">
        <v>13</v>
      </c>
      <c r="B12" s="232">
        <v>-11530</v>
      </c>
      <c r="C12" s="233">
        <v>-5537</v>
      </c>
      <c r="E12" s="232">
        <f>-25968-366</f>
        <v>-26334</v>
      </c>
      <c r="F12" s="233">
        <v>-14532</v>
      </c>
      <c r="H12" s="235">
        <v>-5192</v>
      </c>
      <c r="J12" s="232">
        <v>-1826</v>
      </c>
      <c r="K12" s="233">
        <v>-5982</v>
      </c>
      <c r="L12" s="234"/>
      <c r="M12" s="232">
        <v>-2745</v>
      </c>
      <c r="N12" s="233">
        <v>-7452</v>
      </c>
      <c r="O12" s="234"/>
      <c r="P12" s="232">
        <v>-3803</v>
      </c>
      <c r="Q12" s="233">
        <v>-21694</v>
      </c>
      <c r="R12" s="234"/>
      <c r="S12" s="232">
        <v>-8042</v>
      </c>
      <c r="T12" s="233">
        <v>-21659</v>
      </c>
      <c r="U12" s="234"/>
      <c r="V12" s="232">
        <v>-13036</v>
      </c>
      <c r="W12" s="233">
        <v>-103907</v>
      </c>
      <c r="X12" s="234"/>
      <c r="Y12" s="232">
        <v>-2901</v>
      </c>
      <c r="Z12" s="233">
        <v>-5507</v>
      </c>
      <c r="AA12" s="234"/>
      <c r="AB12" s="232">
        <v>-4338</v>
      </c>
      <c r="AC12" s="233">
        <v>-8424</v>
      </c>
      <c r="AD12" s="234"/>
      <c r="AE12" s="235">
        <v>-7775</v>
      </c>
    </row>
    <row r="13" spans="1:31" x14ac:dyDescent="0.25">
      <c r="A13" s="77" t="s">
        <v>14</v>
      </c>
      <c r="B13" s="232">
        <v>-294</v>
      </c>
      <c r="C13" s="233">
        <v>-44</v>
      </c>
      <c r="E13" s="232">
        <v>-216</v>
      </c>
      <c r="F13" s="233">
        <v>-31</v>
      </c>
      <c r="H13" s="235">
        <v>-60</v>
      </c>
      <c r="J13" s="232">
        <v>175</v>
      </c>
      <c r="K13" s="233">
        <v>0</v>
      </c>
      <c r="L13" s="234"/>
      <c r="M13" s="232">
        <v>0</v>
      </c>
      <c r="N13" s="233">
        <v>0</v>
      </c>
      <c r="O13" s="234"/>
      <c r="P13" s="232">
        <v>-42</v>
      </c>
      <c r="Q13" s="233">
        <v>-292</v>
      </c>
      <c r="R13" s="234"/>
      <c r="S13" s="232">
        <v>-42</v>
      </c>
      <c r="T13" s="233">
        <v>-167</v>
      </c>
      <c r="U13" s="234"/>
      <c r="V13" s="232">
        <v>-61</v>
      </c>
      <c r="W13" s="233">
        <v>-1012</v>
      </c>
      <c r="X13" s="234"/>
      <c r="Y13" s="232">
        <v>-82</v>
      </c>
      <c r="Z13" s="233">
        <v>-170</v>
      </c>
      <c r="AA13" s="234"/>
      <c r="AB13" s="232">
        <v>-115</v>
      </c>
      <c r="AC13" s="233">
        <v>-241</v>
      </c>
      <c r="AD13" s="234"/>
      <c r="AE13" s="235">
        <v>-399</v>
      </c>
    </row>
    <row r="14" spans="1:31" x14ac:dyDescent="0.25">
      <c r="A14" s="77" t="s">
        <v>15</v>
      </c>
      <c r="B14" s="232">
        <v>0</v>
      </c>
      <c r="C14" s="233">
        <v>0</v>
      </c>
      <c r="E14" s="232">
        <v>-6896</v>
      </c>
      <c r="F14" s="233">
        <v>-3446</v>
      </c>
      <c r="H14" s="235">
        <v>-740</v>
      </c>
      <c r="J14" s="232">
        <v>-452</v>
      </c>
      <c r="K14" s="233">
        <v>-1344</v>
      </c>
      <c r="L14" s="234"/>
      <c r="M14" s="232">
        <v>-9</v>
      </c>
      <c r="N14" s="233">
        <v>-35</v>
      </c>
      <c r="O14" s="234"/>
      <c r="P14" s="232">
        <v>-726</v>
      </c>
      <c r="Q14" s="233">
        <v>-5082</v>
      </c>
      <c r="R14" s="234"/>
      <c r="S14" s="232">
        <v>-207</v>
      </c>
      <c r="T14" s="233">
        <v>-831</v>
      </c>
      <c r="U14" s="234"/>
      <c r="V14" s="232">
        <v>-206</v>
      </c>
      <c r="W14" s="233">
        <v>-3590</v>
      </c>
      <c r="X14" s="234"/>
      <c r="Y14" s="232">
        <v>-185</v>
      </c>
      <c r="Z14" s="233">
        <v>-370</v>
      </c>
      <c r="AA14" s="234"/>
      <c r="AB14" s="232">
        <v>-368</v>
      </c>
      <c r="AC14" s="233">
        <v>-770</v>
      </c>
      <c r="AD14" s="234"/>
      <c r="AE14" s="235">
        <v>-258</v>
      </c>
    </row>
    <row r="15" spans="1:31" x14ac:dyDescent="0.25">
      <c r="A15" s="77" t="s">
        <v>16</v>
      </c>
      <c r="B15" s="232">
        <v>0</v>
      </c>
      <c r="C15" s="233">
        <v>0</v>
      </c>
      <c r="E15" s="232">
        <v>0</v>
      </c>
      <c r="F15" s="233">
        <v>0</v>
      </c>
      <c r="H15" s="235">
        <v>0</v>
      </c>
      <c r="J15" s="232">
        <v>0</v>
      </c>
      <c r="K15" s="233">
        <v>0</v>
      </c>
      <c r="L15" s="234"/>
      <c r="M15" s="232">
        <v>0</v>
      </c>
      <c r="N15" s="233">
        <v>0</v>
      </c>
      <c r="O15" s="234"/>
      <c r="P15" s="232">
        <v>0</v>
      </c>
      <c r="Q15" s="233">
        <v>0</v>
      </c>
      <c r="R15" s="234"/>
      <c r="S15" s="232">
        <v>0</v>
      </c>
      <c r="T15" s="233">
        <v>0</v>
      </c>
      <c r="U15" s="234"/>
      <c r="V15" s="232">
        <v>0</v>
      </c>
      <c r="W15" s="233">
        <v>0</v>
      </c>
      <c r="X15" s="234"/>
      <c r="Y15" s="232">
        <v>0</v>
      </c>
      <c r="Z15" s="233">
        <v>0</v>
      </c>
      <c r="AA15" s="234"/>
      <c r="AB15" s="232">
        <v>0</v>
      </c>
      <c r="AC15" s="233">
        <v>0</v>
      </c>
      <c r="AD15" s="234"/>
      <c r="AE15" s="235">
        <v>0</v>
      </c>
    </row>
    <row r="16" spans="1:31" x14ac:dyDescent="0.25">
      <c r="A16" s="77" t="s">
        <v>17</v>
      </c>
      <c r="B16" s="415">
        <v>-8305</v>
      </c>
      <c r="C16" s="416">
        <v>3228</v>
      </c>
      <c r="E16" s="415">
        <v>-6233</v>
      </c>
      <c r="F16" s="416">
        <v>-4976</v>
      </c>
      <c r="H16" s="235">
        <v>-1118</v>
      </c>
      <c r="J16" s="232">
        <v>-1106</v>
      </c>
      <c r="K16" s="233">
        <v>-576</v>
      </c>
      <c r="L16" s="234"/>
      <c r="M16" s="232">
        <v>-901</v>
      </c>
      <c r="N16" s="233">
        <v>-4126</v>
      </c>
      <c r="O16" s="234"/>
      <c r="P16" s="232">
        <v>-2712</v>
      </c>
      <c r="Q16" s="233">
        <v>-14347</v>
      </c>
      <c r="R16" s="234"/>
      <c r="S16" s="232">
        <v>2680</v>
      </c>
      <c r="T16" s="233">
        <v>2140</v>
      </c>
      <c r="U16" s="234"/>
      <c r="V16" s="232">
        <v>6025</v>
      </c>
      <c r="W16" s="233">
        <v>-8434</v>
      </c>
      <c r="X16" s="234"/>
      <c r="Y16" s="232">
        <v>-1629</v>
      </c>
      <c r="Z16" s="233">
        <v>-3260</v>
      </c>
      <c r="AA16" s="234"/>
      <c r="AB16" s="232">
        <v>-3021</v>
      </c>
      <c r="AC16" s="233">
        <v>-5041</v>
      </c>
      <c r="AD16" s="234"/>
      <c r="AE16" s="235">
        <v>-13277</v>
      </c>
    </row>
    <row r="17" spans="1:31" x14ac:dyDescent="0.25">
      <c r="A17" s="77" t="s">
        <v>18</v>
      </c>
      <c r="B17" s="232">
        <v>-123</v>
      </c>
      <c r="C17" s="233">
        <v>-131</v>
      </c>
      <c r="E17" s="232">
        <v>-127</v>
      </c>
      <c r="F17" s="233">
        <v>142</v>
      </c>
      <c r="H17" s="235">
        <v>-31</v>
      </c>
      <c r="J17" s="232">
        <v>-2147</v>
      </c>
      <c r="K17" s="233">
        <v>-715</v>
      </c>
      <c r="L17" s="234"/>
      <c r="M17" s="232">
        <v>0</v>
      </c>
      <c r="N17" s="233">
        <v>8</v>
      </c>
      <c r="O17" s="234"/>
      <c r="P17" s="232">
        <v>1602</v>
      </c>
      <c r="Q17" s="233">
        <v>2260</v>
      </c>
      <c r="R17" s="234"/>
      <c r="S17" s="232">
        <v>-153</v>
      </c>
      <c r="T17" s="233">
        <v>-193</v>
      </c>
      <c r="U17" s="234"/>
      <c r="V17" s="232">
        <v>-558</v>
      </c>
      <c r="W17" s="233">
        <v>-132</v>
      </c>
      <c r="X17" s="234"/>
      <c r="Y17" s="232">
        <v>-136</v>
      </c>
      <c r="Z17" s="233">
        <v>-425</v>
      </c>
      <c r="AA17" s="234"/>
      <c r="AB17" s="232">
        <v>-45</v>
      </c>
      <c r="AC17" s="233">
        <v>-90</v>
      </c>
      <c r="AD17" s="234"/>
      <c r="AE17" s="235">
        <v>152</v>
      </c>
    </row>
    <row r="18" spans="1:31" x14ac:dyDescent="0.25">
      <c r="A18" s="77" t="s">
        <v>19</v>
      </c>
      <c r="B18" s="232">
        <v>0</v>
      </c>
      <c r="C18" s="233">
        <v>0</v>
      </c>
      <c r="E18" s="232">
        <v>-225</v>
      </c>
      <c r="F18" s="233">
        <v>-96</v>
      </c>
      <c r="H18" s="235">
        <v>-2</v>
      </c>
      <c r="J18" s="232">
        <v>0</v>
      </c>
      <c r="K18" s="233">
        <v>0</v>
      </c>
      <c r="L18" s="234"/>
      <c r="M18" s="232">
        <v>0</v>
      </c>
      <c r="N18" s="233">
        <v>0</v>
      </c>
      <c r="O18" s="234"/>
      <c r="P18" s="232">
        <v>0</v>
      </c>
      <c r="Q18" s="233">
        <v>-1</v>
      </c>
      <c r="R18" s="234"/>
      <c r="S18" s="232">
        <v>0</v>
      </c>
      <c r="T18" s="233">
        <v>0</v>
      </c>
      <c r="U18" s="234"/>
      <c r="V18" s="232">
        <v>-79</v>
      </c>
      <c r="W18" s="233">
        <v>-1485</v>
      </c>
      <c r="X18" s="234"/>
      <c r="Y18" s="232">
        <v>-11</v>
      </c>
      <c r="Z18" s="233">
        <v>-27</v>
      </c>
      <c r="AA18" s="234"/>
      <c r="AB18" s="232">
        <v>0</v>
      </c>
      <c r="AC18" s="233">
        <v>0</v>
      </c>
      <c r="AD18" s="234"/>
      <c r="AE18" s="235">
        <v>30</v>
      </c>
    </row>
    <row r="19" spans="1:31" x14ac:dyDescent="0.25">
      <c r="A19" s="77" t="s">
        <v>20</v>
      </c>
      <c r="B19" s="232">
        <v>-1606</v>
      </c>
      <c r="C19" s="233">
        <v>-246</v>
      </c>
      <c r="E19" s="232">
        <v>-10198</v>
      </c>
      <c r="F19" s="233">
        <v>-5609</v>
      </c>
      <c r="H19" s="235">
        <v>-936</v>
      </c>
      <c r="J19" s="232">
        <v>-303</v>
      </c>
      <c r="K19" s="233">
        <v>-953</v>
      </c>
      <c r="L19" s="234"/>
      <c r="M19" s="232">
        <v>-513</v>
      </c>
      <c r="N19" s="233">
        <v>-1506</v>
      </c>
      <c r="O19" s="234"/>
      <c r="P19" s="232">
        <v>-512</v>
      </c>
      <c r="Q19" s="233">
        <v>-3577</v>
      </c>
      <c r="R19" s="234"/>
      <c r="S19" s="232">
        <v>-160</v>
      </c>
      <c r="T19" s="233">
        <v>-650</v>
      </c>
      <c r="U19" s="234"/>
      <c r="V19" s="232">
        <v>-122</v>
      </c>
      <c r="W19" s="233">
        <v>-2031</v>
      </c>
      <c r="X19" s="234"/>
      <c r="Y19" s="232">
        <v>-255</v>
      </c>
      <c r="Z19" s="233">
        <v>-561</v>
      </c>
      <c r="AA19" s="234"/>
      <c r="AB19" s="232">
        <v>-699</v>
      </c>
      <c r="AC19" s="233">
        <v>-1522</v>
      </c>
      <c r="AD19" s="234"/>
      <c r="AE19" s="235">
        <v>-3198</v>
      </c>
    </row>
    <row r="20" spans="1:31" s="115" customFormat="1" x14ac:dyDescent="0.25">
      <c r="A20" s="77" t="s">
        <v>21</v>
      </c>
      <c r="B20" s="236">
        <v>-1509</v>
      </c>
      <c r="C20" s="237">
        <v>1098</v>
      </c>
      <c r="D20" s="77"/>
      <c r="E20" s="236">
        <v>-11607</v>
      </c>
      <c r="F20" s="237">
        <v>-10586</v>
      </c>
      <c r="G20" s="77"/>
      <c r="H20" s="238">
        <v>541</v>
      </c>
      <c r="I20" s="77"/>
      <c r="J20" s="236">
        <v>0</v>
      </c>
      <c r="K20" s="237">
        <v>0</v>
      </c>
      <c r="L20" s="234"/>
      <c r="M20" s="236">
        <v>-43</v>
      </c>
      <c r="N20" s="237">
        <v>-81</v>
      </c>
      <c r="O20" s="234"/>
      <c r="P20" s="236">
        <v>-1355</v>
      </c>
      <c r="Q20" s="237">
        <v>-5011</v>
      </c>
      <c r="R20" s="234"/>
      <c r="S20" s="236">
        <v>989</v>
      </c>
      <c r="T20" s="237">
        <v>972</v>
      </c>
      <c r="U20" s="234"/>
      <c r="V20" s="236">
        <v>6651</v>
      </c>
      <c r="W20" s="237">
        <v>4846</v>
      </c>
      <c r="X20" s="234"/>
      <c r="Y20" s="236">
        <v>-613</v>
      </c>
      <c r="Z20" s="237">
        <v>-1112</v>
      </c>
      <c r="AA20" s="234"/>
      <c r="AB20" s="236">
        <v>-835</v>
      </c>
      <c r="AC20" s="237">
        <v>-1274</v>
      </c>
      <c r="AD20" s="234"/>
      <c r="AE20" s="238">
        <v>-3367</v>
      </c>
    </row>
    <row r="21" spans="1:31" x14ac:dyDescent="0.25">
      <c r="A21" s="89" t="s">
        <v>24</v>
      </c>
      <c r="B21" s="239">
        <v>-5067</v>
      </c>
      <c r="C21" s="240">
        <v>2507</v>
      </c>
      <c r="D21" s="89"/>
      <c r="E21" s="239">
        <v>-7289</v>
      </c>
      <c r="F21" s="240">
        <v>-9999</v>
      </c>
      <c r="G21" s="89"/>
      <c r="H21" s="241">
        <v>-1546</v>
      </c>
      <c r="I21" s="89"/>
      <c r="J21" s="239">
        <v>1344</v>
      </c>
      <c r="K21" s="240">
        <v>1092</v>
      </c>
      <c r="L21" s="230"/>
      <c r="M21" s="239">
        <v>-345</v>
      </c>
      <c r="N21" s="240">
        <v>-2547</v>
      </c>
      <c r="O21" s="230"/>
      <c r="P21" s="239">
        <v>-888</v>
      </c>
      <c r="Q21" s="240">
        <v>-6212</v>
      </c>
      <c r="R21" s="230"/>
      <c r="S21" s="239">
        <v>2004</v>
      </c>
      <c r="T21" s="240">
        <v>2011</v>
      </c>
      <c r="U21" s="230"/>
      <c r="V21" s="239">
        <v>133</v>
      </c>
      <c r="W21" s="240">
        <v>-9632</v>
      </c>
      <c r="X21" s="230"/>
      <c r="Y21" s="239">
        <v>-614</v>
      </c>
      <c r="Z21" s="240">
        <v>-1135</v>
      </c>
      <c r="AA21" s="230"/>
      <c r="AB21" s="239">
        <v>-1442</v>
      </c>
      <c r="AC21" s="240">
        <v>-2155</v>
      </c>
      <c r="AD21" s="230"/>
      <c r="AE21" s="241">
        <v>-6932</v>
      </c>
    </row>
    <row r="22" spans="1:31" x14ac:dyDescent="0.2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row>
    <row r="24" spans="1:31" x14ac:dyDescent="0.25">
      <c r="A24" s="222" t="s">
        <v>110</v>
      </c>
      <c r="B24" s="222"/>
      <c r="C24" s="222"/>
      <c r="D24" s="222"/>
      <c r="E24" s="222"/>
      <c r="F24" s="222"/>
      <c r="G24" s="222"/>
      <c r="H24" s="222"/>
      <c r="I24" s="222"/>
    </row>
    <row r="25" spans="1:31" x14ac:dyDescent="0.25">
      <c r="A25" s="77" t="s">
        <v>111</v>
      </c>
    </row>
    <row r="26" spans="1:31" x14ac:dyDescent="0.25">
      <c r="A26" s="77" t="s">
        <v>112</v>
      </c>
    </row>
  </sheetData>
  <pageMargins left="0.7" right="0.7" top="0.75" bottom="0.75" header="0.3" footer="0.3"/>
  <pageSetup scale="24"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tint="0.59999389629810485"/>
  </sheetPr>
  <dimension ref="A1"/>
  <sheetViews>
    <sheetView workbookViewId="0">
      <selection activeCell="R25" sqref="R25"/>
    </sheetView>
  </sheetViews>
  <sheetFormatPr defaultColWidth="9.140625" defaultRowHeight="15" x14ac:dyDescent="0.25"/>
  <cols>
    <col min="1" max="16384" width="9.140625" style="6"/>
  </cols>
  <sheetData/>
  <pageMargins left="0.7" right="0.7" top="0.75" bottom="0.75" header="0.3" footer="0.3"/>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8D6C6-A786-4476-897E-F59DA833E8A3}">
  <sheetPr>
    <tabColor theme="4" tint="0.39997558519241921"/>
  </sheetPr>
  <dimension ref="A1:AJ73"/>
  <sheetViews>
    <sheetView showGridLines="0" topLeftCell="B1" workbookViewId="0">
      <pane xSplit="2" topLeftCell="D1" activePane="topRight" state="frozen"/>
      <selection activeCell="B12" sqref="B12"/>
      <selection pane="topRight" activeCell="B1" sqref="B1"/>
    </sheetView>
  </sheetViews>
  <sheetFormatPr defaultColWidth="9.140625" defaultRowHeight="15" outlineLevelRow="1" outlineLevelCol="1" x14ac:dyDescent="0.25"/>
  <cols>
    <col min="1" max="1" width="0" style="310" hidden="1" customWidth="1" outlineLevel="1"/>
    <col min="2" max="2" width="30.5703125" style="310" customWidth="1" collapsed="1"/>
    <col min="3" max="3" width="12.5703125" style="310" customWidth="1"/>
    <col min="4" max="4" width="3.42578125" style="310" customWidth="1"/>
    <col min="5" max="5" width="10.5703125" style="310" bestFit="1" customWidth="1"/>
    <col min="6" max="6" width="10.28515625" style="310" bestFit="1" customWidth="1"/>
    <col min="7" max="7" width="10.7109375" style="310" bestFit="1" customWidth="1"/>
    <col min="8" max="8" width="9.5703125" style="310" bestFit="1" customWidth="1"/>
    <col min="9" max="9" width="10.7109375" style="310" bestFit="1" customWidth="1"/>
    <col min="10" max="10" width="9.140625" style="310" bestFit="1" customWidth="1"/>
    <col min="11" max="11" width="10.7109375" style="310" bestFit="1" customWidth="1"/>
    <col min="12" max="12" width="3.42578125" style="310" customWidth="1"/>
    <col min="13" max="18" width="12.5703125" style="310" customWidth="1"/>
    <col min="19" max="19" width="12.85546875" style="310" bestFit="1" customWidth="1"/>
    <col min="20" max="20" width="5.140625" style="310" bestFit="1" customWidth="1"/>
    <col min="21" max="26" width="12.5703125" style="310" customWidth="1"/>
    <col min="27" max="27" width="11.5703125" style="310" customWidth="1"/>
    <col min="28" max="28" width="5.42578125" style="310" bestFit="1" customWidth="1"/>
    <col min="29" max="34" width="12.5703125" style="310" customWidth="1"/>
    <col min="35" max="35" width="11.5703125" style="310" customWidth="1"/>
    <col min="36" max="36" width="5.140625" style="310" bestFit="1" customWidth="1"/>
    <col min="37" max="37" width="13.5703125" style="310" customWidth="1"/>
    <col min="38" max="16384" width="9.140625" style="310"/>
  </cols>
  <sheetData>
    <row r="1" spans="2:36" x14ac:dyDescent="0.25">
      <c r="B1" s="300" t="s">
        <v>188</v>
      </c>
      <c r="C1" s="338">
        <v>265.10000000000002</v>
      </c>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row>
    <row r="2" spans="2:36" x14ac:dyDescent="0.25">
      <c r="B2" s="302" t="s">
        <v>42</v>
      </c>
      <c r="C2" s="530">
        <v>102</v>
      </c>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row>
    <row r="3" spans="2:36" x14ac:dyDescent="0.25">
      <c r="B3" s="302" t="s">
        <v>43</v>
      </c>
      <c r="C3" s="530">
        <v>68</v>
      </c>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row>
    <row r="4" spans="2:36" x14ac:dyDescent="0.25">
      <c r="B4" s="302" t="s">
        <v>44</v>
      </c>
      <c r="C4" s="530">
        <f>C1-C2-C3</f>
        <v>95.100000000000023</v>
      </c>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row>
    <row r="5" spans="2:36" ht="15.75" thickBot="1" x14ac:dyDescent="0.3">
      <c r="B5" s="362" t="s">
        <v>267</v>
      </c>
      <c r="C5" s="363">
        <v>-111876</v>
      </c>
      <c r="D5" s="305"/>
      <c r="E5" s="305"/>
      <c r="F5" s="305"/>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row>
    <row r="6" spans="2:36" x14ac:dyDescent="0.25">
      <c r="B6" s="304"/>
      <c r="C6" s="305"/>
      <c r="D6" s="305"/>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row>
    <row r="7" spans="2:36" x14ac:dyDescent="0.25">
      <c r="B7" s="304"/>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row>
    <row r="8" spans="2:36" x14ac:dyDescent="0.25">
      <c r="B8" s="304"/>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row>
    <row r="9" spans="2:36" x14ac:dyDescent="0.25">
      <c r="B9" s="304"/>
      <c r="C9" s="305"/>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row>
    <row r="10" spans="2:36" x14ac:dyDescent="0.25">
      <c r="B10" s="304"/>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row>
    <row r="11" spans="2:36" x14ac:dyDescent="0.25">
      <c r="B11" s="304"/>
      <c r="C11" s="305"/>
      <c r="D11" s="305"/>
      <c r="E11" s="305"/>
      <c r="F11" s="305"/>
      <c r="G11" s="305"/>
      <c r="H11" s="305"/>
      <c r="I11" s="305"/>
      <c r="J11" s="305"/>
      <c r="K11" s="305"/>
      <c r="L11" s="305"/>
      <c r="M11" s="370"/>
      <c r="N11" s="703"/>
      <c r="O11" s="305"/>
      <c r="P11" s="305"/>
      <c r="Q11" s="305"/>
      <c r="R11" s="305"/>
      <c r="S11" s="305"/>
      <c r="T11" s="305"/>
      <c r="U11" s="305"/>
      <c r="V11" s="305"/>
      <c r="W11" s="305"/>
      <c r="X11" s="305"/>
      <c r="Y11" s="305"/>
      <c r="Z11" s="305"/>
      <c r="AA11" s="305"/>
      <c r="AB11" s="305"/>
      <c r="AC11" s="305"/>
      <c r="AD11" s="305"/>
      <c r="AE11" s="305"/>
      <c r="AF11" s="305"/>
      <c r="AG11" s="305"/>
      <c r="AH11" s="305"/>
      <c r="AI11" s="305"/>
      <c r="AJ11" s="305"/>
    </row>
    <row r="12" spans="2:36" x14ac:dyDescent="0.25">
      <c r="B12" s="304"/>
      <c r="C12" s="305"/>
      <c r="D12" s="305"/>
      <c r="E12" s="305"/>
      <c r="F12" s="305"/>
      <c r="G12" s="305"/>
      <c r="H12" s="305"/>
      <c r="I12" s="305"/>
      <c r="J12" s="305"/>
      <c r="K12" s="305"/>
      <c r="L12" s="305"/>
      <c r="M12" s="378"/>
      <c r="N12" s="305"/>
      <c r="O12" s="305"/>
      <c r="P12" s="305"/>
      <c r="Q12" s="305"/>
      <c r="R12" s="305"/>
      <c r="S12" s="305"/>
      <c r="T12" s="305"/>
      <c r="U12" s="305"/>
      <c r="V12" s="305"/>
      <c r="W12" s="305"/>
      <c r="X12" s="474"/>
      <c r="Y12" s="305"/>
      <c r="Z12" s="305"/>
      <c r="AA12" s="305"/>
      <c r="AB12" s="305"/>
      <c r="AC12" s="305"/>
      <c r="AD12" s="370"/>
      <c r="AE12" s="305"/>
      <c r="AF12" s="305"/>
      <c r="AG12" s="305"/>
      <c r="AH12" s="305"/>
      <c r="AI12" s="305"/>
      <c r="AJ12" s="305"/>
    </row>
    <row r="13" spans="2:36" ht="15.75" thickBot="1" x14ac:dyDescent="0.3">
      <c r="B13" s="304" t="str" cm="1">
        <f t="array" aca="1" ref="B13" ca="1">MID(CELL("filename",B1),FIND("]",CELL("filename",B1))+1,255)</f>
        <v>Lugano</v>
      </c>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row>
    <row r="14" spans="2:36" ht="15.75" thickBot="1" x14ac:dyDescent="0.3">
      <c r="B14" s="302"/>
      <c r="C14" s="274"/>
      <c r="D14" s="274"/>
      <c r="E14" s="807">
        <v>2025</v>
      </c>
      <c r="F14" s="808"/>
      <c r="G14" s="808"/>
      <c r="H14" s="808"/>
      <c r="I14" s="808"/>
      <c r="J14" s="808"/>
      <c r="K14" s="809"/>
      <c r="L14" s="274"/>
      <c r="M14" s="807">
        <v>2024</v>
      </c>
      <c r="N14" s="808"/>
      <c r="O14" s="808"/>
      <c r="P14" s="808"/>
      <c r="Q14" s="808"/>
      <c r="R14" s="808"/>
      <c r="S14" s="809"/>
      <c r="T14" s="693"/>
      <c r="U14" s="807">
        <v>2023</v>
      </c>
      <c r="V14" s="808"/>
      <c r="W14" s="808"/>
      <c r="X14" s="808"/>
      <c r="Y14" s="808"/>
      <c r="Z14" s="808"/>
      <c r="AA14" s="809"/>
      <c r="AB14" s="700"/>
      <c r="AC14" s="807">
        <v>2022</v>
      </c>
      <c r="AD14" s="808"/>
      <c r="AE14" s="808"/>
      <c r="AF14" s="808"/>
      <c r="AG14" s="808"/>
      <c r="AH14" s="808"/>
      <c r="AI14" s="809"/>
      <c r="AJ14" s="274"/>
    </row>
    <row r="15" spans="2:36" x14ac:dyDescent="0.25">
      <c r="B15" s="42"/>
      <c r="C15" s="274"/>
      <c r="D15" s="274"/>
      <c r="E15" s="521" t="s">
        <v>3</v>
      </c>
      <c r="F15" s="97" t="s">
        <v>4</v>
      </c>
      <c r="G15" s="97" t="s">
        <v>5</v>
      </c>
      <c r="H15" s="97" t="s">
        <v>6</v>
      </c>
      <c r="I15" s="97" t="s">
        <v>7</v>
      </c>
      <c r="J15" s="97" t="s">
        <v>8</v>
      </c>
      <c r="K15" s="13" t="s">
        <v>9</v>
      </c>
      <c r="L15" s="274"/>
      <c r="M15" s="521" t="s">
        <v>3</v>
      </c>
      <c r="N15" s="97" t="s">
        <v>4</v>
      </c>
      <c r="O15" s="97" t="s">
        <v>5</v>
      </c>
      <c r="P15" s="97" t="s">
        <v>6</v>
      </c>
      <c r="Q15" s="97" t="s">
        <v>7</v>
      </c>
      <c r="R15" s="97" t="s">
        <v>8</v>
      </c>
      <c r="S15" s="13" t="s">
        <v>9</v>
      </c>
      <c r="T15" s="13"/>
      <c r="U15" s="521" t="s">
        <v>3</v>
      </c>
      <c r="V15" s="97" t="s">
        <v>4</v>
      </c>
      <c r="W15" s="97" t="s">
        <v>5</v>
      </c>
      <c r="X15" s="97" t="s">
        <v>6</v>
      </c>
      <c r="Y15" s="97" t="s">
        <v>7</v>
      </c>
      <c r="Z15" s="97" t="s">
        <v>8</v>
      </c>
      <c r="AA15" s="13" t="s">
        <v>9</v>
      </c>
      <c r="AB15" s="76"/>
      <c r="AC15" s="521" t="s">
        <v>3</v>
      </c>
      <c r="AD15" s="97" t="s">
        <v>4</v>
      </c>
      <c r="AE15" s="97" t="s">
        <v>5</v>
      </c>
      <c r="AF15" s="97" t="s">
        <v>6</v>
      </c>
      <c r="AG15" s="97" t="s">
        <v>7</v>
      </c>
      <c r="AH15" s="97" t="s">
        <v>8</v>
      </c>
      <c r="AI15" s="13" t="s">
        <v>9</v>
      </c>
      <c r="AJ15" s="274"/>
    </row>
    <row r="16" spans="2:36" s="274" customFormat="1" x14ac:dyDescent="0.25">
      <c r="E16" s="304"/>
      <c r="K16" s="315"/>
      <c r="M16" s="304"/>
      <c r="S16" s="315"/>
      <c r="AC16" s="304"/>
      <c r="AI16" s="315"/>
    </row>
    <row r="17" spans="1:36" x14ac:dyDescent="0.25">
      <c r="A17" s="310" t="s">
        <v>10</v>
      </c>
      <c r="B17" s="308" t="s">
        <v>10</v>
      </c>
      <c r="C17" s="274"/>
      <c r="D17" s="274"/>
      <c r="E17" s="669">
        <v>26845.24</v>
      </c>
      <c r="F17" s="653">
        <v>26771.949000000001</v>
      </c>
      <c r="G17" s="653">
        <v>53617.188999999998</v>
      </c>
      <c r="H17" s="653">
        <v>17349.151000000002</v>
      </c>
      <c r="I17" s="653">
        <v>70966.34</v>
      </c>
      <c r="J17" s="653">
        <v>8146.5789999999997</v>
      </c>
      <c r="K17" s="657">
        <v>79112.918999999994</v>
      </c>
      <c r="L17" s="274"/>
      <c r="M17" s="371">
        <v>10793.286</v>
      </c>
      <c r="N17" s="423">
        <f>O17-M17</f>
        <v>12024.999</v>
      </c>
      <c r="O17" s="454">
        <v>22818.285</v>
      </c>
      <c r="P17" s="423">
        <f>Q17-O17</f>
        <v>14268.943000000003</v>
      </c>
      <c r="Q17" s="454">
        <v>37087.228000000003</v>
      </c>
      <c r="R17" s="423">
        <f>S17-Q17</f>
        <v>23358.775999999998</v>
      </c>
      <c r="S17" s="372">
        <v>60446.004000000001</v>
      </c>
      <c r="T17" s="315"/>
      <c r="U17" s="370">
        <v>8429.0630000000001</v>
      </c>
      <c r="V17" s="423">
        <f>W17-U17</f>
        <v>5708</v>
      </c>
      <c r="W17" s="370">
        <v>14137.063</v>
      </c>
      <c r="X17" s="406">
        <f>Y17-W17</f>
        <v>7951.0670000000009</v>
      </c>
      <c r="Y17" s="370">
        <v>22088.13</v>
      </c>
      <c r="Z17" s="406">
        <f>AA17-Y17</f>
        <v>11135.433000000001</v>
      </c>
      <c r="AA17" s="370">
        <v>33223.563000000002</v>
      </c>
      <c r="AB17" s="304"/>
      <c r="AC17" s="371">
        <v>9022.0059999999994</v>
      </c>
      <c r="AD17" s="423">
        <f>AE17-AC17</f>
        <v>4866.6230000000014</v>
      </c>
      <c r="AE17" s="454">
        <v>13888.629000000001</v>
      </c>
      <c r="AF17" s="423">
        <f>AG17-AE17</f>
        <v>13558.7</v>
      </c>
      <c r="AG17" s="454">
        <v>27447.329000000002</v>
      </c>
      <c r="AH17" s="423">
        <f>AI17-AG17</f>
        <v>10172.823999999997</v>
      </c>
      <c r="AI17" s="372">
        <v>37620.152999999998</v>
      </c>
      <c r="AJ17" s="274"/>
    </row>
    <row r="18" spans="1:36" ht="17.25" x14ac:dyDescent="0.4">
      <c r="A18" s="310" t="s">
        <v>210</v>
      </c>
      <c r="B18" s="308" t="s">
        <v>11</v>
      </c>
      <c r="C18" s="274"/>
      <c r="D18" s="274"/>
      <c r="E18" s="670">
        <v>13666.853999999999</v>
      </c>
      <c r="F18" s="671">
        <v>13324.550999999999</v>
      </c>
      <c r="G18" s="671">
        <v>26991.404999999999</v>
      </c>
      <c r="H18" s="671">
        <v>4057.366</v>
      </c>
      <c r="I18" s="671">
        <v>31048.771000000001</v>
      </c>
      <c r="J18" s="671">
        <v>2272.886</v>
      </c>
      <c r="K18" s="678">
        <v>33321.656999999999</v>
      </c>
      <c r="L18" s="274"/>
      <c r="M18" s="694">
        <v>2806.4450000000002</v>
      </c>
      <c r="N18" s="427">
        <f>O18-M18</f>
        <v>5838.4889999999996</v>
      </c>
      <c r="O18" s="695">
        <v>8644.9339999999993</v>
      </c>
      <c r="P18" s="427">
        <f>Q18-O18</f>
        <v>6333.2170000000006</v>
      </c>
      <c r="Q18" s="695">
        <v>14978.151</v>
      </c>
      <c r="R18" s="427">
        <f>S18-Q18</f>
        <v>9215.01</v>
      </c>
      <c r="S18" s="696">
        <v>24193.161</v>
      </c>
      <c r="T18" s="315"/>
      <c r="U18" s="692">
        <v>4608.7939999999999</v>
      </c>
      <c r="V18" s="427">
        <f t="shared" ref="V18:V42" si="0">W18-U18</f>
        <v>4231.2119999999995</v>
      </c>
      <c r="W18" s="692">
        <v>8840.0059999999994</v>
      </c>
      <c r="X18" s="407">
        <f t="shared" ref="X18:Z28" si="1">Y18-W18</f>
        <v>4708.728000000001</v>
      </c>
      <c r="Y18" s="692">
        <v>13548.734</v>
      </c>
      <c r="Z18" s="407">
        <f t="shared" si="1"/>
        <v>4412</v>
      </c>
      <c r="AA18" s="692">
        <v>17960.734</v>
      </c>
      <c r="AB18" s="304"/>
      <c r="AC18" s="694">
        <v>4400.2740000000003</v>
      </c>
      <c r="AD18" s="427">
        <f t="shared" ref="AD18:AD42" si="2">AE18-AC18</f>
        <v>2363.1409999999996</v>
      </c>
      <c r="AE18" s="695">
        <v>6763.415</v>
      </c>
      <c r="AF18" s="427">
        <f t="shared" ref="AF18:AF55" si="3">AG18-AE18</f>
        <v>8025.2140000000009</v>
      </c>
      <c r="AG18" s="695">
        <v>14788.629000000001</v>
      </c>
      <c r="AH18" s="427">
        <f t="shared" ref="AH18:AH42" si="4">AI18-AG18</f>
        <v>3427.4349999999977</v>
      </c>
      <c r="AI18" s="696">
        <v>18216.063999999998</v>
      </c>
      <c r="AJ18" s="274"/>
    </row>
    <row r="19" spans="1:36" x14ac:dyDescent="0.25">
      <c r="A19" s="310" t="s">
        <v>12</v>
      </c>
      <c r="B19" s="308" t="s">
        <v>12</v>
      </c>
      <c r="C19" s="274"/>
      <c r="D19" s="274"/>
      <c r="E19" s="669">
        <f>E17-E18</f>
        <v>13178.386000000002</v>
      </c>
      <c r="F19" s="672">
        <f t="shared" ref="F19:K19" si="5">F17-F18</f>
        <v>13447.398000000001</v>
      </c>
      <c r="G19" s="672">
        <f t="shared" si="5"/>
        <v>26625.784</v>
      </c>
      <c r="H19" s="672">
        <f t="shared" si="5"/>
        <v>13291.785000000002</v>
      </c>
      <c r="I19" s="672">
        <f t="shared" si="5"/>
        <v>39917.568999999996</v>
      </c>
      <c r="J19" s="672">
        <f t="shared" si="5"/>
        <v>5873.6929999999993</v>
      </c>
      <c r="K19" s="679">
        <f t="shared" si="5"/>
        <v>45791.261999999995</v>
      </c>
      <c r="L19" s="274"/>
      <c r="M19" s="567">
        <f>M17-M18</f>
        <v>7986.8410000000003</v>
      </c>
      <c r="N19" s="608">
        <f t="shared" ref="N19:O19" si="6">N17-N18</f>
        <v>6186.51</v>
      </c>
      <c r="O19" s="608">
        <f t="shared" si="6"/>
        <v>14173.351000000001</v>
      </c>
      <c r="P19" s="608">
        <f t="shared" ref="P19:Q19" si="7">P17-P18</f>
        <v>7935.7260000000024</v>
      </c>
      <c r="Q19" s="608">
        <f t="shared" si="7"/>
        <v>22109.077000000005</v>
      </c>
      <c r="R19" s="608">
        <f t="shared" ref="R19:S19" si="8">R17-R18</f>
        <v>14143.765999999998</v>
      </c>
      <c r="S19" s="622">
        <f t="shared" si="8"/>
        <v>36252.843000000001</v>
      </c>
      <c r="T19" s="315"/>
      <c r="U19" s="567">
        <f>U17-U18</f>
        <v>3820.2690000000002</v>
      </c>
      <c r="V19" s="608">
        <f t="shared" ref="V19:AA19" si="9">V17-V18</f>
        <v>1476.7880000000005</v>
      </c>
      <c r="W19" s="608">
        <f t="shared" si="9"/>
        <v>5297.0570000000007</v>
      </c>
      <c r="X19" s="608">
        <f t="shared" si="9"/>
        <v>3242.3389999999999</v>
      </c>
      <c r="Y19" s="608">
        <f t="shared" si="9"/>
        <v>8539.3960000000006</v>
      </c>
      <c r="Z19" s="608">
        <f t="shared" si="9"/>
        <v>6723.4330000000009</v>
      </c>
      <c r="AA19" s="622">
        <f t="shared" si="9"/>
        <v>15262.829000000002</v>
      </c>
      <c r="AB19" s="304"/>
      <c r="AC19" s="84">
        <f>AC17-AC18</f>
        <v>4621.7319999999991</v>
      </c>
      <c r="AD19" s="423">
        <f t="shared" si="2"/>
        <v>2503.4820000000018</v>
      </c>
      <c r="AE19" s="423">
        <f>AE17-AE18</f>
        <v>7125.2140000000009</v>
      </c>
      <c r="AF19" s="423">
        <f t="shared" si="3"/>
        <v>5533.4859999999999</v>
      </c>
      <c r="AG19" s="423">
        <f>AG17-AG18</f>
        <v>12658.7</v>
      </c>
      <c r="AH19" s="423">
        <f t="shared" si="4"/>
        <v>6745.3889999999992</v>
      </c>
      <c r="AI19" s="40">
        <f>AI17-AI18</f>
        <v>19404.089</v>
      </c>
      <c r="AJ19" s="274"/>
    </row>
    <row r="20" spans="1:36" outlineLevel="1" x14ac:dyDescent="0.25">
      <c r="A20" s="310" t="s">
        <v>211</v>
      </c>
      <c r="B20" s="302" t="s">
        <v>13</v>
      </c>
      <c r="C20" s="274"/>
      <c r="D20" s="274"/>
      <c r="E20" s="624">
        <v>26524.453000000001</v>
      </c>
      <c r="F20" s="586">
        <v>28704.938000000002</v>
      </c>
      <c r="G20" s="586">
        <v>55229.391000000003</v>
      </c>
      <c r="H20" s="586">
        <v>24075.751</v>
      </c>
      <c r="I20" s="586">
        <v>79305.142000000007</v>
      </c>
      <c r="J20" s="586">
        <v>12529.053</v>
      </c>
      <c r="K20" s="595">
        <v>91834.194999999992</v>
      </c>
      <c r="L20" s="274"/>
      <c r="M20" s="569">
        <v>20159</v>
      </c>
      <c r="N20" s="424">
        <v>24098</v>
      </c>
      <c r="O20" s="424">
        <v>44257</v>
      </c>
      <c r="P20" s="424">
        <v>22587</v>
      </c>
      <c r="Q20" s="424">
        <v>66844</v>
      </c>
      <c r="R20" s="424">
        <v>30322</v>
      </c>
      <c r="S20" s="86">
        <v>97166.910999999993</v>
      </c>
      <c r="T20" s="315"/>
      <c r="U20" s="569">
        <v>13073</v>
      </c>
      <c r="V20" s="424">
        <f t="shared" si="0"/>
        <v>15139</v>
      </c>
      <c r="W20" s="424">
        <v>28212</v>
      </c>
      <c r="X20" s="408">
        <f>Y20-W20</f>
        <v>16069</v>
      </c>
      <c r="Y20" s="424">
        <v>44281</v>
      </c>
      <c r="Z20" s="408">
        <f t="shared" si="1"/>
        <v>23250.191999999995</v>
      </c>
      <c r="AA20" s="86">
        <v>67531.191999999995</v>
      </c>
      <c r="AB20" s="304"/>
      <c r="AC20" s="643">
        <v>8487</v>
      </c>
      <c r="AD20" s="586">
        <f t="shared" si="2"/>
        <v>8576.6260000000002</v>
      </c>
      <c r="AE20" s="586">
        <v>17063.626</v>
      </c>
      <c r="AF20" s="586">
        <f t="shared" si="3"/>
        <v>10143.374</v>
      </c>
      <c r="AG20" s="586">
        <v>27207</v>
      </c>
      <c r="AH20" s="586">
        <f t="shared" si="4"/>
        <v>12753</v>
      </c>
      <c r="AI20" s="595">
        <v>39960</v>
      </c>
      <c r="AJ20" s="274"/>
    </row>
    <row r="21" spans="1:36" outlineLevel="1" x14ac:dyDescent="0.25">
      <c r="A21" s="310" t="s">
        <v>212</v>
      </c>
      <c r="B21" s="302" t="s">
        <v>14</v>
      </c>
      <c r="C21" s="274"/>
      <c r="D21" s="274"/>
      <c r="E21" s="624">
        <v>187.5</v>
      </c>
      <c r="F21" s="586">
        <v>125</v>
      </c>
      <c r="G21" s="586">
        <v>312.5</v>
      </c>
      <c r="H21" s="586">
        <v>0</v>
      </c>
      <c r="I21" s="586">
        <v>312.5</v>
      </c>
      <c r="J21" s="586">
        <v>0</v>
      </c>
      <c r="K21" s="595">
        <v>312.5</v>
      </c>
      <c r="L21" s="274"/>
      <c r="M21" s="569">
        <v>188</v>
      </c>
      <c r="N21" s="424">
        <v>187</v>
      </c>
      <c r="O21" s="424">
        <v>375</v>
      </c>
      <c r="P21" s="424">
        <v>188</v>
      </c>
      <c r="Q21" s="424">
        <v>563</v>
      </c>
      <c r="R21" s="424">
        <v>188</v>
      </c>
      <c r="S21" s="86">
        <v>750</v>
      </c>
      <c r="T21" s="315"/>
      <c r="U21" s="569">
        <v>188</v>
      </c>
      <c r="V21" s="424">
        <f t="shared" si="0"/>
        <v>187</v>
      </c>
      <c r="W21" s="424">
        <v>375</v>
      </c>
      <c r="X21" s="408">
        <f>Y21-W21</f>
        <v>188</v>
      </c>
      <c r="Y21" s="424">
        <v>563</v>
      </c>
      <c r="Z21" s="408">
        <f t="shared" si="1"/>
        <v>187</v>
      </c>
      <c r="AA21" s="86">
        <v>750</v>
      </c>
      <c r="AB21" s="304"/>
      <c r="AC21" s="643">
        <v>188</v>
      </c>
      <c r="AD21" s="586">
        <f t="shared" si="2"/>
        <v>187</v>
      </c>
      <c r="AE21" s="586">
        <v>375</v>
      </c>
      <c r="AF21" s="586">
        <f t="shared" si="3"/>
        <v>188</v>
      </c>
      <c r="AG21" s="586">
        <v>563</v>
      </c>
      <c r="AH21" s="586">
        <f t="shared" si="4"/>
        <v>187</v>
      </c>
      <c r="AI21" s="595">
        <v>750</v>
      </c>
      <c r="AJ21" s="274"/>
    </row>
    <row r="22" spans="1:36" outlineLevel="1" x14ac:dyDescent="0.25">
      <c r="A22" s="310" t="s">
        <v>213</v>
      </c>
      <c r="B22" s="302" t="s">
        <v>15</v>
      </c>
      <c r="C22" s="274"/>
      <c r="D22" s="274"/>
      <c r="E22" s="624">
        <v>125.955</v>
      </c>
      <c r="F22" s="586">
        <v>-118.422</v>
      </c>
      <c r="G22" s="586">
        <v>7.5330000000000004</v>
      </c>
      <c r="H22" s="586">
        <v>3.7669999999999999</v>
      </c>
      <c r="I22" s="586">
        <v>11.3</v>
      </c>
      <c r="J22" s="586">
        <v>1.883</v>
      </c>
      <c r="K22" s="595">
        <v>13.183</v>
      </c>
      <c r="L22" s="274"/>
      <c r="M22" s="569">
        <f>3767/1000</f>
        <v>3.7669999999999999</v>
      </c>
      <c r="N22" s="424">
        <f>O22-M22</f>
        <v>3.7660000000000005</v>
      </c>
      <c r="O22" s="524">
        <v>7.5330000000000004</v>
      </c>
      <c r="P22" s="424">
        <f>Q22-O22</f>
        <v>70.468999999999994</v>
      </c>
      <c r="Q22" s="524">
        <v>78.001999999999995</v>
      </c>
      <c r="R22" s="424">
        <f>S22-Q22</f>
        <v>97.76</v>
      </c>
      <c r="S22" s="380">
        <v>175.762</v>
      </c>
      <c r="T22" s="315"/>
      <c r="U22" s="474">
        <v>34.277000000000001</v>
      </c>
      <c r="V22" s="424">
        <f t="shared" si="0"/>
        <v>34.275000000000006</v>
      </c>
      <c r="W22" s="474">
        <v>68.552000000000007</v>
      </c>
      <c r="X22" s="405">
        <f t="shared" si="1"/>
        <v>34.276999999999987</v>
      </c>
      <c r="Y22" s="474">
        <v>102.82899999999999</v>
      </c>
      <c r="Z22" s="405">
        <f t="shared" si="1"/>
        <v>34.278000000000006</v>
      </c>
      <c r="AA22" s="474">
        <v>137.107</v>
      </c>
      <c r="AB22" s="304"/>
      <c r="AC22" s="643">
        <v>71.650000000000006</v>
      </c>
      <c r="AD22" s="586">
        <f t="shared" si="2"/>
        <v>71.638999999999982</v>
      </c>
      <c r="AE22" s="586">
        <v>143.28899999999999</v>
      </c>
      <c r="AF22" s="586">
        <f>AG22-AE22</f>
        <v>71.711000000000013</v>
      </c>
      <c r="AG22" s="586">
        <v>215</v>
      </c>
      <c r="AH22" s="586">
        <f t="shared" si="4"/>
        <v>71.59899999999999</v>
      </c>
      <c r="AI22" s="701">
        <v>286.59899999999999</v>
      </c>
      <c r="AJ22" s="274"/>
    </row>
    <row r="23" spans="1:36" ht="17.25" outlineLevel="1" x14ac:dyDescent="0.4">
      <c r="A23" s="310" t="s">
        <v>234</v>
      </c>
      <c r="B23" s="302" t="s">
        <v>16</v>
      </c>
      <c r="C23" s="274"/>
      <c r="D23" s="274"/>
      <c r="E23" s="673">
        <v>0</v>
      </c>
      <c r="F23" s="674">
        <v>31514.762999999999</v>
      </c>
      <c r="G23" s="674">
        <v>31514.762999999999</v>
      </c>
      <c r="H23" s="674">
        <v>0</v>
      </c>
      <c r="I23" s="674">
        <v>31514.762999999999</v>
      </c>
      <c r="J23" s="674">
        <v>0</v>
      </c>
      <c r="K23" s="680">
        <v>31514.762999999999</v>
      </c>
      <c r="L23" s="274"/>
      <c r="M23" s="272">
        <v>0</v>
      </c>
      <c r="N23" s="428">
        <v>0</v>
      </c>
      <c r="O23" s="428">
        <v>0</v>
      </c>
      <c r="P23" s="428">
        <v>0</v>
      </c>
      <c r="Q23" s="428">
        <v>0</v>
      </c>
      <c r="R23" s="428">
        <v>0</v>
      </c>
      <c r="S23" s="273">
        <v>0</v>
      </c>
      <c r="T23" s="315"/>
      <c r="U23" s="272">
        <v>0</v>
      </c>
      <c r="V23" s="428">
        <f t="shared" si="0"/>
        <v>0</v>
      </c>
      <c r="W23" s="428">
        <v>0</v>
      </c>
      <c r="X23" s="428">
        <f t="shared" si="1"/>
        <v>0</v>
      </c>
      <c r="Y23" s="428">
        <v>0</v>
      </c>
      <c r="Z23" s="428">
        <f t="shared" si="1"/>
        <v>1196.961</v>
      </c>
      <c r="AA23" s="389">
        <v>1196.961</v>
      </c>
      <c r="AB23" s="304"/>
      <c r="AC23" s="391">
        <v>2879.1640000000002</v>
      </c>
      <c r="AD23" s="428">
        <f t="shared" si="2"/>
        <v>0</v>
      </c>
      <c r="AE23" s="702">
        <v>2879.1640000000002</v>
      </c>
      <c r="AF23" s="674">
        <f>AG23-AE23</f>
        <v>0</v>
      </c>
      <c r="AG23" s="702">
        <v>2879.1640000000002</v>
      </c>
      <c r="AH23" s="674">
        <f t="shared" si="4"/>
        <v>25722.972999999998</v>
      </c>
      <c r="AI23" s="392">
        <v>28602.136999999999</v>
      </c>
      <c r="AJ23" s="274"/>
    </row>
    <row r="24" spans="1:36" x14ac:dyDescent="0.25">
      <c r="A24" s="310" t="s">
        <v>214</v>
      </c>
      <c r="B24" s="308" t="s">
        <v>17</v>
      </c>
      <c r="C24" s="274"/>
      <c r="D24" s="274"/>
      <c r="E24" s="669">
        <f>E19-SUM(E20:E23)</f>
        <v>-13659.522000000001</v>
      </c>
      <c r="F24" s="672">
        <f t="shared" ref="F24:G24" si="10">F19-SUM(F20:F23)</f>
        <v>-46778.881000000001</v>
      </c>
      <c r="G24" s="672">
        <f t="shared" si="10"/>
        <v>-60438.403000000006</v>
      </c>
      <c r="H24" s="672">
        <f t="shared" ref="H24:K24" si="11">H19-SUM(H20:H23)</f>
        <v>-10787.732999999998</v>
      </c>
      <c r="I24" s="672">
        <f t="shared" si="11"/>
        <v>-71226.136000000028</v>
      </c>
      <c r="J24" s="672">
        <f t="shared" si="11"/>
        <v>-6657.2430000000004</v>
      </c>
      <c r="K24" s="679">
        <f t="shared" si="11"/>
        <v>-77883.379000000015</v>
      </c>
      <c r="L24" s="274"/>
      <c r="M24" s="567">
        <f>M19-SUM(M20:M23)</f>
        <v>-12363.925999999999</v>
      </c>
      <c r="N24" s="608">
        <f t="shared" ref="N24:O24" si="12">N19-SUM(N20:N23)</f>
        <v>-18102.256000000001</v>
      </c>
      <c r="O24" s="608">
        <f t="shared" si="12"/>
        <v>-30466.182000000001</v>
      </c>
      <c r="P24" s="608">
        <f t="shared" ref="P24:Q24" si="13">P19-SUM(P20:P23)</f>
        <v>-14909.742999999999</v>
      </c>
      <c r="Q24" s="608">
        <f t="shared" si="13"/>
        <v>-45375.924999999988</v>
      </c>
      <c r="R24" s="608">
        <f t="shared" ref="R24:S24" si="14">R19-SUM(R20:R23)</f>
        <v>-16463.993999999999</v>
      </c>
      <c r="S24" s="622">
        <f t="shared" si="14"/>
        <v>-61839.829999999994</v>
      </c>
      <c r="T24" s="452"/>
      <c r="U24" s="567">
        <f t="shared" ref="U24:AA24" si="15">U19-SUM(U20:U23)</f>
        <v>-9475.0079999999998</v>
      </c>
      <c r="V24" s="608">
        <f t="shared" si="15"/>
        <v>-13883.486999999999</v>
      </c>
      <c r="W24" s="608">
        <f>W19-SUM(W20:W23)</f>
        <v>-23358.494999999999</v>
      </c>
      <c r="X24" s="608">
        <f t="shared" si="15"/>
        <v>-13048.938</v>
      </c>
      <c r="Y24" s="608">
        <f t="shared" si="15"/>
        <v>-36407.432999999997</v>
      </c>
      <c r="Z24" s="608">
        <f t="shared" si="15"/>
        <v>-17944.997999999992</v>
      </c>
      <c r="AA24" s="622">
        <f t="shared" si="15"/>
        <v>-54352.430999999997</v>
      </c>
      <c r="AB24" s="452"/>
      <c r="AC24" s="567">
        <f t="shared" ref="AC24:AI24" si="16">AC19-SUM(AC20:AC23)</f>
        <v>-7004.0820000000012</v>
      </c>
      <c r="AD24" s="608">
        <f t="shared" si="16"/>
        <v>-6331.7829999999976</v>
      </c>
      <c r="AE24" s="608">
        <f t="shared" si="16"/>
        <v>-13335.865000000002</v>
      </c>
      <c r="AF24" s="608">
        <f t="shared" si="16"/>
        <v>-4869.5989999999993</v>
      </c>
      <c r="AG24" s="608">
        <f t="shared" si="16"/>
        <v>-18205.464</v>
      </c>
      <c r="AH24" s="608">
        <f t="shared" si="16"/>
        <v>-31989.183000000001</v>
      </c>
      <c r="AI24" s="622">
        <f t="shared" si="16"/>
        <v>-50194.647000000004</v>
      </c>
      <c r="AJ24" s="274"/>
    </row>
    <row r="25" spans="1:36" outlineLevel="1" x14ac:dyDescent="0.25">
      <c r="A25" s="310" t="s">
        <v>217</v>
      </c>
      <c r="B25" s="302" t="s">
        <v>18</v>
      </c>
      <c r="C25" s="274"/>
      <c r="D25" s="274"/>
      <c r="E25" s="624">
        <v>13981.590543475</v>
      </c>
      <c r="F25" s="586">
        <v>-1138.0330000000001</v>
      </c>
      <c r="G25" s="586">
        <v>12692.295</v>
      </c>
      <c r="H25" s="586">
        <v>1785.085</v>
      </c>
      <c r="I25" s="586">
        <v>14477.38</v>
      </c>
      <c r="J25" s="586">
        <v>3264.348</v>
      </c>
      <c r="K25" s="595">
        <v>17741.727999999999</v>
      </c>
      <c r="L25" s="274"/>
      <c r="M25" s="569">
        <v>44872</v>
      </c>
      <c r="N25" s="424">
        <v>39480</v>
      </c>
      <c r="O25" s="424">
        <v>84352.153000000006</v>
      </c>
      <c r="P25" s="424">
        <v>37991</v>
      </c>
      <c r="Q25" s="424">
        <f>O25+P25</f>
        <v>122343.15300000001</v>
      </c>
      <c r="R25" s="424">
        <f>S25-Q25</f>
        <v>18507.676999999981</v>
      </c>
      <c r="S25" s="86">
        <f>140849.83+1</f>
        <v>140850.82999999999</v>
      </c>
      <c r="T25" s="315"/>
      <c r="U25" s="624">
        <v>15580</v>
      </c>
      <c r="V25" s="586">
        <v>18211</v>
      </c>
      <c r="W25" s="586">
        <f>U25+V25</f>
        <v>33791</v>
      </c>
      <c r="X25" s="542">
        <f>Y25-W25</f>
        <v>36395.998000000007</v>
      </c>
      <c r="Y25" s="586">
        <v>70186.998000000007</v>
      </c>
      <c r="Z25" s="542">
        <f>AA25-Y25</f>
        <v>15266.119999999995</v>
      </c>
      <c r="AA25" s="595">
        <f>85454.118-1</f>
        <v>85453.118000000002</v>
      </c>
      <c r="AB25" s="304"/>
      <c r="AC25" s="643">
        <v>23718</v>
      </c>
      <c r="AD25" s="586">
        <v>11625</v>
      </c>
      <c r="AE25" s="586">
        <f>AC25+AD25</f>
        <v>35343</v>
      </c>
      <c r="AF25" s="586">
        <v>12454</v>
      </c>
      <c r="AG25" s="586">
        <f>AE25+AF25</f>
        <v>47797</v>
      </c>
      <c r="AH25" s="586">
        <v>19139</v>
      </c>
      <c r="AI25" s="595">
        <f>AG25+AH25+1</f>
        <v>66937</v>
      </c>
      <c r="AJ25" s="274"/>
    </row>
    <row r="26" spans="1:36" outlineLevel="1" x14ac:dyDescent="0.25">
      <c r="A26" s="310" t="s">
        <v>215</v>
      </c>
      <c r="B26" s="302" t="s">
        <v>19</v>
      </c>
      <c r="C26" s="274"/>
      <c r="D26" s="274"/>
      <c r="E26" s="624">
        <v>8874.8130000000001</v>
      </c>
      <c r="F26" s="586">
        <v>6887.3379999999997</v>
      </c>
      <c r="G26" s="586">
        <v>15762.151</v>
      </c>
      <c r="H26" s="586">
        <v>5083.3940000000002</v>
      </c>
      <c r="I26" s="586">
        <v>20845.544999999998</v>
      </c>
      <c r="J26" s="586">
        <v>2493.703</v>
      </c>
      <c r="K26" s="595">
        <v>23339.248</v>
      </c>
      <c r="L26" s="274"/>
      <c r="M26" s="624">
        <v>1695</v>
      </c>
      <c r="N26" s="424">
        <f t="shared" ref="N26:N27" si="17">O26-M26</f>
        <v>3035</v>
      </c>
      <c r="O26" s="586">
        <v>4730</v>
      </c>
      <c r="P26" s="586">
        <f t="shared" ref="P26:P27" si="18">Q26-O26</f>
        <v>4262</v>
      </c>
      <c r="Q26" s="586">
        <v>8992</v>
      </c>
      <c r="R26" s="424">
        <f t="shared" ref="R26:R27" si="19">S26-Q26</f>
        <v>7130.4060000000009</v>
      </c>
      <c r="S26" s="595">
        <v>16122.406000000001</v>
      </c>
      <c r="T26" s="315"/>
      <c r="U26" s="624">
        <v>787</v>
      </c>
      <c r="V26" s="586">
        <f t="shared" si="0"/>
        <v>1104</v>
      </c>
      <c r="W26" s="586">
        <v>1891</v>
      </c>
      <c r="X26" s="542">
        <f t="shared" si="1"/>
        <v>1292</v>
      </c>
      <c r="Y26" s="586">
        <v>3183</v>
      </c>
      <c r="Z26" s="542">
        <f t="shared" si="1"/>
        <v>1533.9589999999998</v>
      </c>
      <c r="AA26" s="595">
        <v>4716.9589999999998</v>
      </c>
      <c r="AB26" s="304"/>
      <c r="AC26" s="643">
        <v>449.815</v>
      </c>
      <c r="AD26" s="586">
        <f t="shared" si="2"/>
        <v>327.089</v>
      </c>
      <c r="AE26" s="586">
        <v>776.904</v>
      </c>
      <c r="AF26" s="586">
        <f t="shared" si="3"/>
        <v>445.35699999999997</v>
      </c>
      <c r="AG26" s="586">
        <v>1222.261</v>
      </c>
      <c r="AH26" s="586">
        <f t="shared" si="4"/>
        <v>571.24600000000009</v>
      </c>
      <c r="AI26" s="595">
        <v>1793.5070000000001</v>
      </c>
      <c r="AJ26" s="274"/>
    </row>
    <row r="27" spans="1:36" outlineLevel="1" x14ac:dyDescent="0.25">
      <c r="A27" s="310" t="s">
        <v>216</v>
      </c>
      <c r="B27" s="302" t="s">
        <v>20</v>
      </c>
      <c r="C27" s="274"/>
      <c r="D27" s="274"/>
      <c r="E27" s="624">
        <v>15374.800999999999</v>
      </c>
      <c r="F27" s="586">
        <v>16430.274000000001</v>
      </c>
      <c r="G27" s="586">
        <v>31805.075000000001</v>
      </c>
      <c r="H27" s="586">
        <v>16554.462</v>
      </c>
      <c r="I27" s="586">
        <v>48359.536999999997</v>
      </c>
      <c r="J27" s="586">
        <v>8284.1090000000004</v>
      </c>
      <c r="K27" s="595">
        <v>56643.646000000001</v>
      </c>
      <c r="L27" s="274"/>
      <c r="M27" s="624">
        <v>11758</v>
      </c>
      <c r="N27" s="424">
        <f t="shared" si="17"/>
        <v>13579</v>
      </c>
      <c r="O27" s="586">
        <v>25337</v>
      </c>
      <c r="P27" s="586">
        <f t="shared" si="18"/>
        <v>15080</v>
      </c>
      <c r="Q27" s="586">
        <v>40417</v>
      </c>
      <c r="R27" s="586">
        <f t="shared" si="19"/>
        <v>15596</v>
      </c>
      <c r="S27" s="595">
        <v>56013</v>
      </c>
      <c r="T27" s="315"/>
      <c r="U27" s="624">
        <v>6284</v>
      </c>
      <c r="V27" s="586">
        <f t="shared" si="0"/>
        <v>7446</v>
      </c>
      <c r="W27" s="586">
        <v>13730</v>
      </c>
      <c r="X27" s="542">
        <f t="shared" si="1"/>
        <v>8930</v>
      </c>
      <c r="Y27" s="586">
        <v>22660</v>
      </c>
      <c r="Z27" s="542">
        <f t="shared" si="1"/>
        <v>10177.135999999999</v>
      </c>
      <c r="AA27" s="595">
        <v>32837.135999999999</v>
      </c>
      <c r="AB27" s="304"/>
      <c r="AC27" s="643">
        <v>2125</v>
      </c>
      <c r="AD27" s="586">
        <f t="shared" si="2"/>
        <v>2453</v>
      </c>
      <c r="AE27" s="586">
        <v>4578</v>
      </c>
      <c r="AF27" s="586">
        <f t="shared" si="3"/>
        <v>3263</v>
      </c>
      <c r="AG27" s="586">
        <v>7841</v>
      </c>
      <c r="AH27" s="586">
        <f t="shared" si="4"/>
        <v>4932</v>
      </c>
      <c r="AI27" s="595">
        <v>12773</v>
      </c>
      <c r="AJ27" s="274"/>
    </row>
    <row r="28" spans="1:36" ht="17.25" outlineLevel="1" x14ac:dyDescent="0.4">
      <c r="A28" s="310" t="s">
        <v>218</v>
      </c>
      <c r="B28" s="302" t="s">
        <v>21</v>
      </c>
      <c r="C28" s="274"/>
      <c r="D28" s="274"/>
      <c r="E28" s="675">
        <v>-259.67</v>
      </c>
      <c r="F28" s="674">
        <v>4.2770000000000001</v>
      </c>
      <c r="G28" s="674">
        <v>-255.393</v>
      </c>
      <c r="H28" s="674">
        <v>0</v>
      </c>
      <c r="I28" s="674">
        <v>-255.393</v>
      </c>
      <c r="J28" s="674">
        <v>0</v>
      </c>
      <c r="K28" s="680">
        <v>-255.393</v>
      </c>
      <c r="L28" s="274"/>
      <c r="M28" s="675">
        <v>158</v>
      </c>
      <c r="N28" s="674">
        <f>O28-M28</f>
        <v>387</v>
      </c>
      <c r="O28" s="674">
        <v>545</v>
      </c>
      <c r="P28" s="674">
        <f>Q28-O28</f>
        <v>496</v>
      </c>
      <c r="Q28" s="674">
        <v>1041</v>
      </c>
      <c r="R28" s="674">
        <f>S28-Q28</f>
        <v>-137</v>
      </c>
      <c r="S28" s="680">
        <v>904</v>
      </c>
      <c r="T28" s="315"/>
      <c r="U28" s="675">
        <v>6</v>
      </c>
      <c r="V28" s="674">
        <f t="shared" si="0"/>
        <v>52</v>
      </c>
      <c r="W28" s="674">
        <v>58</v>
      </c>
      <c r="X28" s="615">
        <f t="shared" si="1"/>
        <v>51</v>
      </c>
      <c r="Y28" s="674">
        <v>109</v>
      </c>
      <c r="Z28" s="615">
        <f t="shared" si="1"/>
        <v>39.365000000000009</v>
      </c>
      <c r="AA28" s="680">
        <v>148.36500000000001</v>
      </c>
      <c r="AB28" s="304"/>
      <c r="AC28" s="673">
        <v>517.15099999999995</v>
      </c>
      <c r="AD28" s="674">
        <f t="shared" si="2"/>
        <v>733.87500000000011</v>
      </c>
      <c r="AE28" s="674">
        <v>1251.0260000000001</v>
      </c>
      <c r="AF28" s="674">
        <f t="shared" si="3"/>
        <v>709.04700000000003</v>
      </c>
      <c r="AG28" s="674">
        <v>1960.0730000000001</v>
      </c>
      <c r="AH28" s="674">
        <f t="shared" si="4"/>
        <v>-1945.5340000000001</v>
      </c>
      <c r="AI28" s="680">
        <v>14.539</v>
      </c>
      <c r="AJ28" s="274"/>
    </row>
    <row r="29" spans="1:36" x14ac:dyDescent="0.25">
      <c r="A29" s="310" t="s">
        <v>219</v>
      </c>
      <c r="B29" s="308" t="s">
        <v>24</v>
      </c>
      <c r="C29" s="274"/>
      <c r="D29" s="274"/>
      <c r="E29" s="669">
        <f>E24-SUM(E25:E28)</f>
        <v>-51631.056543475002</v>
      </c>
      <c r="F29" s="672">
        <f t="shared" ref="F29:K29" si="20">F24-SUM(F25:F28)</f>
        <v>-68962.736999999994</v>
      </c>
      <c r="G29" s="672">
        <f t="shared" si="20"/>
        <v>-120442.53100000002</v>
      </c>
      <c r="H29" s="672">
        <f t="shared" si="20"/>
        <v>-34210.673999999999</v>
      </c>
      <c r="I29" s="672">
        <f t="shared" si="20"/>
        <v>-154653.20500000002</v>
      </c>
      <c r="J29" s="672">
        <f t="shared" si="20"/>
        <v>-20699.402999999998</v>
      </c>
      <c r="K29" s="679">
        <f t="shared" si="20"/>
        <v>-175352.60800000001</v>
      </c>
      <c r="L29" s="274"/>
      <c r="M29" s="567">
        <f>M24-SUM(M25:M28)</f>
        <v>-70846.926000000007</v>
      </c>
      <c r="N29" s="608">
        <f t="shared" ref="N29:O29" si="21">N24-SUM(N25:N28)</f>
        <v>-74583.255999999994</v>
      </c>
      <c r="O29" s="608">
        <f t="shared" si="21"/>
        <v>-145430.33500000002</v>
      </c>
      <c r="P29" s="672">
        <f t="shared" ref="P29" si="22">P24-SUM(P25:P28)</f>
        <v>-72738.743000000002</v>
      </c>
      <c r="Q29" s="672">
        <f>Q24-SUM(Q25:Q28)</f>
        <v>-218169.07799999998</v>
      </c>
      <c r="R29" s="608">
        <f t="shared" ref="R29" si="23">R24-SUM(R25:R28)</f>
        <v>-57561.076999999983</v>
      </c>
      <c r="S29" s="622">
        <f>S24-SUM(S25:S28)</f>
        <v>-275730.06599999999</v>
      </c>
      <c r="T29" s="452"/>
      <c r="U29" s="567">
        <f>U24-SUM(U25:U28)</f>
        <v>-32132.008000000002</v>
      </c>
      <c r="V29" s="608">
        <f t="shared" ref="V29:Z29" si="24">V24-SUM(V25:V28)</f>
        <v>-40696.487000000001</v>
      </c>
      <c r="W29" s="608">
        <f>W24-SUM(W25:W28)</f>
        <v>-72828.494999999995</v>
      </c>
      <c r="X29" s="608">
        <f t="shared" si="24"/>
        <v>-59717.936000000009</v>
      </c>
      <c r="Y29" s="608">
        <f t="shared" si="24"/>
        <v>-132546.43100000001</v>
      </c>
      <c r="Z29" s="608">
        <f t="shared" si="24"/>
        <v>-44961.577999999987</v>
      </c>
      <c r="AA29" s="622">
        <f>AA24-SUM(AA25:AA28)</f>
        <v>-177508.00900000002</v>
      </c>
      <c r="AB29" s="452"/>
      <c r="AC29" s="567">
        <f>AC24-SUM(AC25:AC28)</f>
        <v>-33814.048000000003</v>
      </c>
      <c r="AD29" s="608">
        <f t="shared" ref="AD29:AH29" si="25">AD24-SUM(AD25:AD28)</f>
        <v>-21470.746999999996</v>
      </c>
      <c r="AE29" s="608">
        <f t="shared" si="25"/>
        <v>-55284.794999999998</v>
      </c>
      <c r="AF29" s="608">
        <f t="shared" si="25"/>
        <v>-21741.002999999997</v>
      </c>
      <c r="AG29" s="608">
        <f t="shared" si="25"/>
        <v>-77025.797999999995</v>
      </c>
      <c r="AH29" s="608">
        <f t="shared" si="25"/>
        <v>-54685.895000000004</v>
      </c>
      <c r="AI29" s="622">
        <f>AI24-SUM(AI25:AI28)</f>
        <v>-131712.693</v>
      </c>
      <c r="AJ29" s="274"/>
    </row>
    <row r="30" spans="1:36" outlineLevel="1" x14ac:dyDescent="0.25">
      <c r="B30" s="307" t="s">
        <v>54</v>
      </c>
      <c r="C30" s="274"/>
      <c r="D30" s="274"/>
      <c r="E30" s="624"/>
      <c r="F30" s="653"/>
      <c r="G30" s="653"/>
      <c r="H30" s="653"/>
      <c r="I30" s="653"/>
      <c r="J30" s="653"/>
      <c r="K30" s="657"/>
      <c r="L30" s="274"/>
      <c r="M30" s="569"/>
      <c r="N30" s="423"/>
      <c r="O30" s="423"/>
      <c r="P30" s="423"/>
      <c r="Q30" s="423"/>
      <c r="R30" s="423"/>
      <c r="S30" s="40"/>
      <c r="T30" s="315"/>
      <c r="U30" s="569"/>
      <c r="V30" s="423"/>
      <c r="W30" s="423"/>
      <c r="X30" s="408"/>
      <c r="Y30" s="423"/>
      <c r="Z30" s="408"/>
      <c r="AA30" s="40"/>
      <c r="AB30" s="304"/>
      <c r="AC30" s="84"/>
      <c r="AD30" s="423">
        <f t="shared" si="2"/>
        <v>0</v>
      </c>
      <c r="AE30" s="423">
        <v>0</v>
      </c>
      <c r="AF30" s="423"/>
      <c r="AG30" s="423"/>
      <c r="AH30" s="423">
        <f t="shared" si="4"/>
        <v>0</v>
      </c>
      <c r="AI30" s="40"/>
      <c r="AJ30" s="274"/>
    </row>
    <row r="31" spans="1:36" outlineLevel="1" x14ac:dyDescent="0.25">
      <c r="A31" s="310" t="s">
        <v>21</v>
      </c>
      <c r="B31" s="302" t="s">
        <v>21</v>
      </c>
      <c r="C31" s="274"/>
      <c r="D31" s="274"/>
      <c r="E31" s="624">
        <f>E28</f>
        <v>-259.67</v>
      </c>
      <c r="F31" s="625">
        <f t="shared" ref="F31:K31" si="26">F28</f>
        <v>4.2770000000000001</v>
      </c>
      <c r="G31" s="625">
        <f t="shared" si="26"/>
        <v>-255.393</v>
      </c>
      <c r="H31" s="625">
        <f t="shared" si="26"/>
        <v>0</v>
      </c>
      <c r="I31" s="625">
        <f t="shared" si="26"/>
        <v>-255.393</v>
      </c>
      <c r="J31" s="625">
        <f t="shared" si="26"/>
        <v>0</v>
      </c>
      <c r="K31" s="681">
        <f t="shared" si="26"/>
        <v>-255.393</v>
      </c>
      <c r="L31" s="274"/>
      <c r="M31" s="569">
        <f>M28</f>
        <v>158</v>
      </c>
      <c r="N31" s="609">
        <f t="shared" ref="N31:O31" si="27">N28</f>
        <v>387</v>
      </c>
      <c r="O31" s="609">
        <f t="shared" si="27"/>
        <v>545</v>
      </c>
      <c r="P31" s="609">
        <f t="shared" ref="P31:Q31" si="28">P28</f>
        <v>496</v>
      </c>
      <c r="Q31" s="609">
        <f t="shared" si="28"/>
        <v>1041</v>
      </c>
      <c r="R31" s="609">
        <f t="shared" ref="R31" si="29">R28</f>
        <v>-137</v>
      </c>
      <c r="S31" s="623">
        <f>S28</f>
        <v>904</v>
      </c>
      <c r="T31" s="315"/>
      <c r="U31" s="85">
        <f>U28</f>
        <v>6</v>
      </c>
      <c r="V31" s="424">
        <f t="shared" ref="V31:AA31" si="30">V28</f>
        <v>52</v>
      </c>
      <c r="W31" s="424">
        <f t="shared" si="30"/>
        <v>58</v>
      </c>
      <c r="X31" s="424">
        <f t="shared" si="30"/>
        <v>51</v>
      </c>
      <c r="Y31" s="424">
        <f t="shared" si="30"/>
        <v>109</v>
      </c>
      <c r="Z31" s="424">
        <f t="shared" si="30"/>
        <v>39.365000000000009</v>
      </c>
      <c r="AA31" s="86">
        <f t="shared" si="30"/>
        <v>148.36500000000001</v>
      </c>
      <c r="AB31" s="304"/>
      <c r="AC31" s="85">
        <f>AC28</f>
        <v>517.15099999999995</v>
      </c>
      <c r="AD31" s="424">
        <f t="shared" ref="AD31:AI31" si="31">AD28</f>
        <v>733.87500000000011</v>
      </c>
      <c r="AE31" s="424">
        <f t="shared" si="31"/>
        <v>1251.0260000000001</v>
      </c>
      <c r="AF31" s="424">
        <f t="shared" si="31"/>
        <v>709.04700000000003</v>
      </c>
      <c r="AG31" s="424">
        <f t="shared" si="31"/>
        <v>1960.0730000000001</v>
      </c>
      <c r="AH31" s="424">
        <f t="shared" si="31"/>
        <v>-1945.5340000000001</v>
      </c>
      <c r="AI31" s="86">
        <f t="shared" si="31"/>
        <v>14.539</v>
      </c>
      <c r="AJ31" s="274"/>
    </row>
    <row r="32" spans="1:36" outlineLevel="1" x14ac:dyDescent="0.25">
      <c r="A32" s="310" t="s">
        <v>195</v>
      </c>
      <c r="B32" s="302" t="s">
        <v>19</v>
      </c>
      <c r="C32" s="274"/>
      <c r="D32" s="274"/>
      <c r="E32" s="624">
        <f>E26</f>
        <v>8874.8130000000001</v>
      </c>
      <c r="F32" s="625">
        <f t="shared" ref="F32:K32" si="32">F26</f>
        <v>6887.3379999999997</v>
      </c>
      <c r="G32" s="625">
        <f t="shared" si="32"/>
        <v>15762.151</v>
      </c>
      <c r="H32" s="625">
        <f t="shared" si="32"/>
        <v>5083.3940000000002</v>
      </c>
      <c r="I32" s="625">
        <f t="shared" si="32"/>
        <v>20845.544999999998</v>
      </c>
      <c r="J32" s="625">
        <f t="shared" si="32"/>
        <v>2493.703</v>
      </c>
      <c r="K32" s="681">
        <f t="shared" si="32"/>
        <v>23339.248</v>
      </c>
      <c r="L32" s="274"/>
      <c r="M32" s="569">
        <f>M26</f>
        <v>1695</v>
      </c>
      <c r="N32" s="609">
        <f t="shared" ref="N32:O32" si="33">N26</f>
        <v>3035</v>
      </c>
      <c r="O32" s="609">
        <f t="shared" si="33"/>
        <v>4730</v>
      </c>
      <c r="P32" s="609">
        <f t="shared" ref="P32:Q32" si="34">P26</f>
        <v>4262</v>
      </c>
      <c r="Q32" s="609">
        <f t="shared" si="34"/>
        <v>8992</v>
      </c>
      <c r="R32" s="609">
        <f t="shared" ref="R32:S32" si="35">R26</f>
        <v>7130.4060000000009</v>
      </c>
      <c r="S32" s="623">
        <f t="shared" si="35"/>
        <v>16122.406000000001</v>
      </c>
      <c r="T32" s="315"/>
      <c r="U32" s="569">
        <f>U26</f>
        <v>787</v>
      </c>
      <c r="V32" s="609">
        <f t="shared" ref="V32:AA32" si="36">V26</f>
        <v>1104</v>
      </c>
      <c r="W32" s="609">
        <f t="shared" si="36"/>
        <v>1891</v>
      </c>
      <c r="X32" s="609">
        <f t="shared" si="36"/>
        <v>1292</v>
      </c>
      <c r="Y32" s="609">
        <f t="shared" si="36"/>
        <v>3183</v>
      </c>
      <c r="Z32" s="609">
        <f t="shared" si="36"/>
        <v>1533.9589999999998</v>
      </c>
      <c r="AA32" s="623">
        <f t="shared" si="36"/>
        <v>4716.9589999999998</v>
      </c>
      <c r="AB32" s="304"/>
      <c r="AC32" s="569">
        <f>AC26</f>
        <v>449.815</v>
      </c>
      <c r="AD32" s="609">
        <f t="shared" ref="AD32:AI32" si="37">AD26</f>
        <v>327.089</v>
      </c>
      <c r="AE32" s="609">
        <f t="shared" si="37"/>
        <v>776.904</v>
      </c>
      <c r="AF32" s="609">
        <f t="shared" si="37"/>
        <v>445.35699999999997</v>
      </c>
      <c r="AG32" s="609">
        <f t="shared" si="37"/>
        <v>1222.261</v>
      </c>
      <c r="AH32" s="609">
        <f t="shared" si="37"/>
        <v>571.24600000000009</v>
      </c>
      <c r="AI32" s="623">
        <f t="shared" si="37"/>
        <v>1793.5070000000001</v>
      </c>
      <c r="AJ32" s="274"/>
    </row>
    <row r="33" spans="1:36" outlineLevel="1" x14ac:dyDescent="0.25">
      <c r="A33" s="310" t="s">
        <v>95</v>
      </c>
      <c r="B33" s="302" t="s">
        <v>20</v>
      </c>
      <c r="C33" s="274"/>
      <c r="D33" s="274"/>
      <c r="E33" s="624">
        <f>E27</f>
        <v>15374.800999999999</v>
      </c>
      <c r="F33" s="625">
        <f t="shared" ref="F33:K33" si="38">F27</f>
        <v>16430.274000000001</v>
      </c>
      <c r="G33" s="625">
        <f t="shared" si="38"/>
        <v>31805.075000000001</v>
      </c>
      <c r="H33" s="625">
        <f t="shared" si="38"/>
        <v>16554.462</v>
      </c>
      <c r="I33" s="625">
        <f t="shared" si="38"/>
        <v>48359.536999999997</v>
      </c>
      <c r="J33" s="625">
        <f t="shared" si="38"/>
        <v>8284.1090000000004</v>
      </c>
      <c r="K33" s="681">
        <f t="shared" si="38"/>
        <v>56643.646000000001</v>
      </c>
      <c r="L33" s="274"/>
      <c r="M33" s="569">
        <f>M27</f>
        <v>11758</v>
      </c>
      <c r="N33" s="609">
        <f t="shared" ref="N33:O33" si="39">N27</f>
        <v>13579</v>
      </c>
      <c r="O33" s="609">
        <f t="shared" si="39"/>
        <v>25337</v>
      </c>
      <c r="P33" s="609">
        <f t="shared" ref="P33:Q33" si="40">P27</f>
        <v>15080</v>
      </c>
      <c r="Q33" s="609">
        <f t="shared" si="40"/>
        <v>40417</v>
      </c>
      <c r="R33" s="609">
        <f t="shared" ref="R33:S33" si="41">R27</f>
        <v>15596</v>
      </c>
      <c r="S33" s="623">
        <f t="shared" si="41"/>
        <v>56013</v>
      </c>
      <c r="T33" s="315"/>
      <c r="U33" s="569">
        <f>U27</f>
        <v>6284</v>
      </c>
      <c r="V33" s="609">
        <f t="shared" ref="V33:AA33" si="42">V27</f>
        <v>7446</v>
      </c>
      <c r="W33" s="609">
        <f t="shared" si="42"/>
        <v>13730</v>
      </c>
      <c r="X33" s="609">
        <f t="shared" si="42"/>
        <v>8930</v>
      </c>
      <c r="Y33" s="609">
        <f t="shared" si="42"/>
        <v>22660</v>
      </c>
      <c r="Z33" s="609">
        <f t="shared" si="42"/>
        <v>10177.135999999999</v>
      </c>
      <c r="AA33" s="623">
        <f t="shared" si="42"/>
        <v>32837.135999999999</v>
      </c>
      <c r="AB33" s="304"/>
      <c r="AC33" s="569">
        <f>AC27</f>
        <v>2125</v>
      </c>
      <c r="AD33" s="609">
        <f t="shared" ref="AD33:AI33" si="43">AD27</f>
        <v>2453</v>
      </c>
      <c r="AE33" s="609">
        <f t="shared" si="43"/>
        <v>4578</v>
      </c>
      <c r="AF33" s="609">
        <f t="shared" si="43"/>
        <v>3263</v>
      </c>
      <c r="AG33" s="609">
        <f t="shared" si="43"/>
        <v>7841</v>
      </c>
      <c r="AH33" s="609">
        <f t="shared" si="43"/>
        <v>4932</v>
      </c>
      <c r="AI33" s="623">
        <f t="shared" si="43"/>
        <v>12773</v>
      </c>
      <c r="AJ33" s="274"/>
    </row>
    <row r="34" spans="1:36" outlineLevel="1" x14ac:dyDescent="0.25">
      <c r="A34" s="310" t="s">
        <v>96</v>
      </c>
      <c r="B34" s="302" t="s">
        <v>55</v>
      </c>
      <c r="C34" s="274"/>
      <c r="D34" s="274"/>
      <c r="E34" s="624">
        <v>1127</v>
      </c>
      <c r="F34" s="586">
        <f>G34-E34</f>
        <v>978</v>
      </c>
      <c r="G34" s="586">
        <v>2105</v>
      </c>
      <c r="H34" s="586">
        <v>228</v>
      </c>
      <c r="I34" s="586">
        <v>2333</v>
      </c>
      <c r="J34" s="586">
        <f>K34-I34</f>
        <v>52</v>
      </c>
      <c r="K34" s="595">
        <v>2385</v>
      </c>
      <c r="L34" s="274"/>
      <c r="M34" s="624">
        <f>2115-1236</f>
        <v>879</v>
      </c>
      <c r="N34" s="586">
        <f>O34-M34</f>
        <v>1005</v>
      </c>
      <c r="O34" s="586">
        <f>4356-2472</f>
        <v>1884</v>
      </c>
      <c r="P34" s="586">
        <f>Q34-O34</f>
        <v>1116</v>
      </c>
      <c r="Q34" s="586">
        <f>6708-3708</f>
        <v>3000</v>
      </c>
      <c r="R34" s="586">
        <f>S34-Q34</f>
        <v>1163</v>
      </c>
      <c r="S34" s="595">
        <v>4163</v>
      </c>
      <c r="T34" s="315"/>
      <c r="U34" s="624">
        <f>2718-2381</f>
        <v>337</v>
      </c>
      <c r="V34" s="586">
        <f t="shared" si="0"/>
        <v>686</v>
      </c>
      <c r="W34" s="586">
        <f>4608-3585</f>
        <v>1023</v>
      </c>
      <c r="X34" s="542">
        <f>Y34-W34</f>
        <v>707</v>
      </c>
      <c r="Y34" s="586">
        <f>6522-4792</f>
        <v>1730</v>
      </c>
      <c r="Z34" s="542">
        <f>AA34-Y34</f>
        <v>860</v>
      </c>
      <c r="AA34" s="595">
        <f>2591-1</f>
        <v>2590</v>
      </c>
      <c r="AB34" s="304"/>
      <c r="AC34" s="643">
        <f>2169-1878</f>
        <v>291</v>
      </c>
      <c r="AD34" s="586">
        <f t="shared" si="2"/>
        <v>227</v>
      </c>
      <c r="AE34" s="586">
        <f>5114-4596</f>
        <v>518</v>
      </c>
      <c r="AF34" s="586">
        <f t="shared" si="3"/>
        <v>240</v>
      </c>
      <c r="AG34" s="586">
        <f>8090-7332</f>
        <v>758</v>
      </c>
      <c r="AH34" s="586">
        <f t="shared" si="4"/>
        <v>307</v>
      </c>
      <c r="AI34" s="595">
        <v>1065</v>
      </c>
      <c r="AJ34" s="274"/>
    </row>
    <row r="35" spans="1:36" outlineLevel="1" x14ac:dyDescent="0.25">
      <c r="A35" s="310" t="s">
        <v>220</v>
      </c>
      <c r="B35" s="302" t="s">
        <v>56</v>
      </c>
      <c r="C35" s="274"/>
      <c r="D35" s="274"/>
      <c r="E35" s="628">
        <v>466</v>
      </c>
      <c r="F35" s="634">
        <f>G35-E35</f>
        <v>497</v>
      </c>
      <c r="G35" s="634">
        <v>963</v>
      </c>
      <c r="H35" s="634">
        <v>497</v>
      </c>
      <c r="I35" s="634">
        <v>1460</v>
      </c>
      <c r="J35" s="634">
        <f>K35-I35</f>
        <v>3786</v>
      </c>
      <c r="K35" s="635">
        <v>5246</v>
      </c>
      <c r="L35" s="274"/>
      <c r="M35" s="628">
        <v>232</v>
      </c>
      <c r="N35" s="634">
        <f>O35-M35</f>
        <v>284</v>
      </c>
      <c r="O35" s="634">
        <v>516</v>
      </c>
      <c r="P35" s="634">
        <f>Q35-O35</f>
        <v>347</v>
      </c>
      <c r="Q35" s="634">
        <v>863</v>
      </c>
      <c r="R35" s="634">
        <f>S35-Q35</f>
        <v>365</v>
      </c>
      <c r="S35" s="635">
        <v>1228</v>
      </c>
      <c r="T35" s="315"/>
      <c r="U35" s="628">
        <v>132</v>
      </c>
      <c r="V35" s="634">
        <f t="shared" si="0"/>
        <v>149</v>
      </c>
      <c r="W35" s="634">
        <v>281</v>
      </c>
      <c r="X35" s="613">
        <f t="shared" ref="X35:Z35" si="44">Y35-W35</f>
        <v>168</v>
      </c>
      <c r="Y35" s="634">
        <v>449</v>
      </c>
      <c r="Z35" s="613">
        <f t="shared" si="44"/>
        <v>191.59500000000003</v>
      </c>
      <c r="AA35" s="635">
        <v>640.59500000000003</v>
      </c>
      <c r="AB35" s="304"/>
      <c r="AC35" s="644">
        <v>85</v>
      </c>
      <c r="AD35" s="634">
        <f t="shared" si="2"/>
        <v>103</v>
      </c>
      <c r="AE35" s="634">
        <v>188</v>
      </c>
      <c r="AF35" s="634">
        <f t="shared" si="3"/>
        <v>107</v>
      </c>
      <c r="AG35" s="634">
        <v>295</v>
      </c>
      <c r="AH35" s="634">
        <f t="shared" si="4"/>
        <v>107</v>
      </c>
      <c r="AI35" s="635">
        <v>402</v>
      </c>
      <c r="AJ35" s="274"/>
    </row>
    <row r="36" spans="1:36" x14ac:dyDescent="0.25">
      <c r="A36" s="310" t="s">
        <v>57</v>
      </c>
      <c r="B36" s="308" t="s">
        <v>57</v>
      </c>
      <c r="C36" s="274"/>
      <c r="D36" s="274"/>
      <c r="E36" s="669">
        <f t="shared" ref="E36:K36" si="45">SUM(E29:E35)</f>
        <v>-26048.112543474999</v>
      </c>
      <c r="F36" s="672">
        <f t="shared" si="45"/>
        <v>-44165.847999999984</v>
      </c>
      <c r="G36" s="672">
        <f t="shared" si="45"/>
        <v>-70062.698000000019</v>
      </c>
      <c r="H36" s="672">
        <f t="shared" si="45"/>
        <v>-11847.817999999999</v>
      </c>
      <c r="I36" s="672">
        <f t="shared" si="45"/>
        <v>-81910.516000000018</v>
      </c>
      <c r="J36" s="672">
        <f t="shared" si="45"/>
        <v>-6083.5909999999967</v>
      </c>
      <c r="K36" s="679">
        <f t="shared" si="45"/>
        <v>-87994.107000000018</v>
      </c>
      <c r="L36" s="274"/>
      <c r="M36" s="567">
        <f t="shared" ref="M36:AI36" si="46">SUM(M29:M35)</f>
        <v>-56124.926000000007</v>
      </c>
      <c r="N36" s="608">
        <f t="shared" si="46"/>
        <v>-56293.255999999994</v>
      </c>
      <c r="O36" s="608">
        <f t="shared" si="46"/>
        <v>-112418.33500000002</v>
      </c>
      <c r="P36" s="608">
        <f t="shared" si="46"/>
        <v>-51437.743000000002</v>
      </c>
      <c r="Q36" s="672">
        <f>SUM(Q29:Q35)</f>
        <v>-163856.07799999998</v>
      </c>
      <c r="R36" s="672">
        <f t="shared" si="46"/>
        <v>-33443.67099999998</v>
      </c>
      <c r="S36" s="622">
        <f t="shared" si="46"/>
        <v>-197299.66</v>
      </c>
      <c r="T36" s="452"/>
      <c r="U36" s="567">
        <f t="shared" si="46"/>
        <v>-24586.008000000002</v>
      </c>
      <c r="V36" s="608">
        <f t="shared" si="46"/>
        <v>-31259.487000000001</v>
      </c>
      <c r="W36" s="608">
        <f t="shared" si="46"/>
        <v>-55845.494999999995</v>
      </c>
      <c r="X36" s="608">
        <f t="shared" si="46"/>
        <v>-48569.936000000009</v>
      </c>
      <c r="Y36" s="672">
        <f t="shared" si="46"/>
        <v>-104415.43100000001</v>
      </c>
      <c r="Z36" s="672">
        <f t="shared" si="46"/>
        <v>-32159.522999999986</v>
      </c>
      <c r="AA36" s="622">
        <f>SUM(AA29:AA35)</f>
        <v>-136574.95400000003</v>
      </c>
      <c r="AB36" s="452"/>
      <c r="AC36" s="567">
        <f>SUM(AC29:AC35)</f>
        <v>-30346.082000000002</v>
      </c>
      <c r="AD36" s="608">
        <f t="shared" si="46"/>
        <v>-17626.782999999996</v>
      </c>
      <c r="AE36" s="672">
        <f t="shared" si="46"/>
        <v>-47972.864999999998</v>
      </c>
      <c r="AF36" s="672">
        <f t="shared" si="46"/>
        <v>-16976.598999999998</v>
      </c>
      <c r="AG36" s="672">
        <f t="shared" si="46"/>
        <v>-64949.463999999993</v>
      </c>
      <c r="AH36" s="672">
        <f t="shared" si="46"/>
        <v>-50714.183000000005</v>
      </c>
      <c r="AI36" s="622">
        <f t="shared" si="46"/>
        <v>-115664.64700000001</v>
      </c>
      <c r="AJ36" s="274"/>
    </row>
    <row r="37" spans="1:36" outlineLevel="1" x14ac:dyDescent="0.25">
      <c r="A37" s="310" t="s">
        <v>233</v>
      </c>
      <c r="B37" s="302" t="s">
        <v>58</v>
      </c>
      <c r="C37" s="274"/>
      <c r="D37" s="274"/>
      <c r="E37" s="624"/>
      <c r="F37" s="586"/>
      <c r="G37" s="586"/>
      <c r="H37" s="586"/>
      <c r="I37" s="586"/>
      <c r="J37" s="586"/>
      <c r="K37" s="595"/>
      <c r="L37" s="274"/>
      <c r="M37" s="569"/>
      <c r="N37" s="424"/>
      <c r="O37" s="424"/>
      <c r="P37" s="424"/>
      <c r="Q37" s="586"/>
      <c r="R37" s="586"/>
      <c r="S37" s="86"/>
      <c r="T37" s="315"/>
      <c r="U37" s="569">
        <v>0</v>
      </c>
      <c r="V37" s="424">
        <f t="shared" si="0"/>
        <v>0</v>
      </c>
      <c r="W37" s="424">
        <v>0</v>
      </c>
      <c r="X37" s="408"/>
      <c r="Y37" s="424"/>
      <c r="Z37" s="408"/>
      <c r="AA37" s="86"/>
      <c r="AB37" s="304"/>
      <c r="AC37" s="643">
        <v>0</v>
      </c>
      <c r="AD37" s="424">
        <f t="shared" si="2"/>
        <v>0</v>
      </c>
      <c r="AE37" s="586"/>
      <c r="AF37" s="586"/>
      <c r="AG37" s="586"/>
      <c r="AH37" s="586">
        <f t="shared" si="4"/>
        <v>0</v>
      </c>
      <c r="AI37" s="86"/>
      <c r="AJ37" s="274"/>
    </row>
    <row r="38" spans="1:36" outlineLevel="1" x14ac:dyDescent="0.25">
      <c r="A38" s="310" t="s">
        <v>59</v>
      </c>
      <c r="B38" s="302" t="s">
        <v>59</v>
      </c>
      <c r="C38" s="274"/>
      <c r="D38" s="274"/>
      <c r="E38" s="624">
        <v>916</v>
      </c>
      <c r="F38" s="586">
        <f>G38-E38</f>
        <v>626</v>
      </c>
      <c r="G38" s="586">
        <v>1542</v>
      </c>
      <c r="H38" s="586">
        <f>I38-G38</f>
        <v>643</v>
      </c>
      <c r="I38" s="586">
        <v>2185</v>
      </c>
      <c r="J38" s="586">
        <f>K38-I38</f>
        <v>310</v>
      </c>
      <c r="K38" s="595">
        <v>2495</v>
      </c>
      <c r="L38" s="274"/>
      <c r="M38" s="624">
        <v>504</v>
      </c>
      <c r="N38" s="586">
        <v>699</v>
      </c>
      <c r="O38" s="586">
        <v>1203</v>
      </c>
      <c r="P38" s="586">
        <v>459</v>
      </c>
      <c r="Q38" s="586">
        <v>1662</v>
      </c>
      <c r="R38" s="586">
        <f>S38-Q38</f>
        <v>775</v>
      </c>
      <c r="S38" s="595">
        <v>2437</v>
      </c>
      <c r="T38" s="315"/>
      <c r="U38" s="624">
        <v>395</v>
      </c>
      <c r="V38" s="586">
        <f>W38-U38</f>
        <v>445</v>
      </c>
      <c r="W38" s="586">
        <f>840</f>
        <v>840</v>
      </c>
      <c r="X38" s="542">
        <f t="shared" ref="X38:Z38" si="47">Y38-W38</f>
        <v>472</v>
      </c>
      <c r="Y38" s="586">
        <v>1312</v>
      </c>
      <c r="Z38" s="542">
        <f t="shared" si="47"/>
        <v>162</v>
      </c>
      <c r="AA38" s="595">
        <v>1474</v>
      </c>
      <c r="AB38" s="304"/>
      <c r="AC38" s="643">
        <v>240</v>
      </c>
      <c r="AD38" s="586">
        <f t="shared" si="2"/>
        <v>204</v>
      </c>
      <c r="AE38" s="586">
        <v>444</v>
      </c>
      <c r="AF38" s="586">
        <f t="shared" si="3"/>
        <v>356</v>
      </c>
      <c r="AG38" s="586">
        <v>800</v>
      </c>
      <c r="AH38" s="586">
        <f t="shared" si="4"/>
        <v>379</v>
      </c>
      <c r="AI38" s="595">
        <v>1179</v>
      </c>
      <c r="AJ38" s="274"/>
    </row>
    <row r="39" spans="1:36" outlineLevel="1" x14ac:dyDescent="0.25">
      <c r="A39" s="310" t="s">
        <v>71</v>
      </c>
      <c r="B39" s="302" t="s">
        <v>60</v>
      </c>
      <c r="C39" s="274"/>
      <c r="D39" s="274"/>
      <c r="E39" s="624">
        <v>0</v>
      </c>
      <c r="F39" s="586">
        <f>F23</f>
        <v>31514.762999999999</v>
      </c>
      <c r="G39" s="586">
        <f>G23</f>
        <v>31514.762999999999</v>
      </c>
      <c r="H39" s="586">
        <v>0</v>
      </c>
      <c r="I39" s="586">
        <f>I23</f>
        <v>31514.762999999999</v>
      </c>
      <c r="J39" s="586">
        <v>0</v>
      </c>
      <c r="K39" s="595">
        <f>K23</f>
        <v>31514.762999999999</v>
      </c>
      <c r="L39" s="274"/>
      <c r="M39" s="624">
        <v>0</v>
      </c>
      <c r="N39" s="586">
        <v>0</v>
      </c>
      <c r="O39" s="586">
        <v>0</v>
      </c>
      <c r="P39" s="586">
        <v>0</v>
      </c>
      <c r="Q39" s="586">
        <v>0</v>
      </c>
      <c r="R39" s="586">
        <v>0</v>
      </c>
      <c r="S39" s="595">
        <v>0</v>
      </c>
      <c r="T39" s="315"/>
      <c r="U39" s="624">
        <v>0</v>
      </c>
      <c r="V39" s="586">
        <v>0</v>
      </c>
      <c r="W39" s="586">
        <v>0</v>
      </c>
      <c r="X39" s="542">
        <v>0</v>
      </c>
      <c r="Y39" s="586">
        <v>0</v>
      </c>
      <c r="Z39" s="542">
        <v>0</v>
      </c>
      <c r="AA39" s="595">
        <v>0</v>
      </c>
      <c r="AB39" s="304"/>
      <c r="AC39" s="643">
        <v>0</v>
      </c>
      <c r="AD39" s="586">
        <f t="shared" si="2"/>
        <v>0</v>
      </c>
      <c r="AE39" s="586">
        <v>0</v>
      </c>
      <c r="AF39" s="586">
        <f t="shared" si="3"/>
        <v>0</v>
      </c>
      <c r="AG39" s="586">
        <v>0</v>
      </c>
      <c r="AH39" s="586">
        <f t="shared" si="4"/>
        <v>0</v>
      </c>
      <c r="AI39" s="595">
        <v>0</v>
      </c>
      <c r="AJ39" s="274"/>
    </row>
    <row r="40" spans="1:36" outlineLevel="1" x14ac:dyDescent="0.25">
      <c r="A40" s="310" t="s">
        <v>98</v>
      </c>
      <c r="B40" s="302" t="s">
        <v>62</v>
      </c>
      <c r="C40" s="274"/>
      <c r="D40" s="274"/>
      <c r="E40" s="624">
        <v>0</v>
      </c>
      <c r="F40" s="586">
        <v>0</v>
      </c>
      <c r="G40" s="586">
        <v>0</v>
      </c>
      <c r="H40" s="586">
        <v>0</v>
      </c>
      <c r="I40" s="586">
        <v>0</v>
      </c>
      <c r="J40" s="586">
        <v>0</v>
      </c>
      <c r="K40" s="595">
        <v>0</v>
      </c>
      <c r="L40" s="274"/>
      <c r="M40" s="624">
        <f>M23</f>
        <v>0</v>
      </c>
      <c r="N40" s="625">
        <f t="shared" ref="N40:S40" si="48">N23</f>
        <v>0</v>
      </c>
      <c r="O40" s="625">
        <f t="shared" si="48"/>
        <v>0</v>
      </c>
      <c r="P40" s="625">
        <f t="shared" si="48"/>
        <v>0</v>
      </c>
      <c r="Q40" s="625">
        <f t="shared" si="48"/>
        <v>0</v>
      </c>
      <c r="R40" s="625">
        <f t="shared" si="48"/>
        <v>0</v>
      </c>
      <c r="S40" s="681">
        <f t="shared" si="48"/>
        <v>0</v>
      </c>
      <c r="T40" s="315"/>
      <c r="U40" s="624">
        <f>U23</f>
        <v>0</v>
      </c>
      <c r="V40" s="625">
        <f t="shared" ref="V40:AA40" si="49">V23</f>
        <v>0</v>
      </c>
      <c r="W40" s="625">
        <f t="shared" si="49"/>
        <v>0</v>
      </c>
      <c r="X40" s="625">
        <f t="shared" si="49"/>
        <v>0</v>
      </c>
      <c r="Y40" s="625">
        <f t="shared" si="49"/>
        <v>0</v>
      </c>
      <c r="Z40" s="625">
        <f t="shared" si="49"/>
        <v>1196.961</v>
      </c>
      <c r="AA40" s="625">
        <f t="shared" si="49"/>
        <v>1196.961</v>
      </c>
      <c r="AB40" s="304"/>
      <c r="AC40" s="624">
        <f>AC23</f>
        <v>2879.1640000000002</v>
      </c>
      <c r="AD40" s="625">
        <f t="shared" ref="AD40:AI40" si="50">AD23</f>
        <v>0</v>
      </c>
      <c r="AE40" s="625">
        <f t="shared" si="50"/>
        <v>2879.1640000000002</v>
      </c>
      <c r="AF40" s="625">
        <f t="shared" si="50"/>
        <v>0</v>
      </c>
      <c r="AG40" s="625">
        <f t="shared" si="50"/>
        <v>2879.1640000000002</v>
      </c>
      <c r="AH40" s="625">
        <f t="shared" si="50"/>
        <v>25722.972999999998</v>
      </c>
      <c r="AI40" s="681">
        <f t="shared" si="50"/>
        <v>28602.136999999999</v>
      </c>
      <c r="AJ40" s="274"/>
    </row>
    <row r="41" spans="1:36" outlineLevel="1" x14ac:dyDescent="0.25">
      <c r="B41" s="302" t="s">
        <v>63</v>
      </c>
      <c r="C41" s="274"/>
      <c r="D41" s="274"/>
      <c r="E41" s="624">
        <v>0</v>
      </c>
      <c r="F41" s="586">
        <v>0</v>
      </c>
      <c r="G41" s="586">
        <v>0</v>
      </c>
      <c r="H41" s="586">
        <v>0</v>
      </c>
      <c r="I41" s="586">
        <v>0</v>
      </c>
      <c r="J41" s="586">
        <v>0</v>
      </c>
      <c r="K41" s="595">
        <v>0</v>
      </c>
      <c r="L41" s="274"/>
      <c r="M41" s="624">
        <v>0</v>
      </c>
      <c r="N41" s="586">
        <v>0</v>
      </c>
      <c r="O41" s="586">
        <v>0</v>
      </c>
      <c r="P41" s="586">
        <v>0</v>
      </c>
      <c r="Q41" s="586">
        <v>0</v>
      </c>
      <c r="R41" s="586">
        <v>0</v>
      </c>
      <c r="S41" s="595">
        <v>0</v>
      </c>
      <c r="T41" s="315"/>
      <c r="U41" s="624">
        <v>0</v>
      </c>
      <c r="V41" s="586">
        <f t="shared" si="0"/>
        <v>0</v>
      </c>
      <c r="W41" s="586">
        <v>0</v>
      </c>
      <c r="X41" s="542">
        <v>0</v>
      </c>
      <c r="Y41" s="586">
        <v>0</v>
      </c>
      <c r="Z41" s="542">
        <v>0</v>
      </c>
      <c r="AA41" s="595">
        <v>0</v>
      </c>
      <c r="AB41" s="304"/>
      <c r="AC41" s="643">
        <v>0</v>
      </c>
      <c r="AD41" s="586">
        <f t="shared" si="2"/>
        <v>0</v>
      </c>
      <c r="AE41" s="586">
        <v>0</v>
      </c>
      <c r="AF41" s="586">
        <f t="shared" si="3"/>
        <v>0</v>
      </c>
      <c r="AG41" s="586">
        <v>0</v>
      </c>
      <c r="AH41" s="586">
        <f t="shared" si="4"/>
        <v>0</v>
      </c>
      <c r="AI41" s="595">
        <v>0</v>
      </c>
      <c r="AJ41" s="274"/>
    </row>
    <row r="42" spans="1:36" outlineLevel="1" x14ac:dyDescent="0.25">
      <c r="A42" s="310" t="s">
        <v>157</v>
      </c>
      <c r="B42" s="302" t="s">
        <v>157</v>
      </c>
      <c r="C42" s="274"/>
      <c r="D42" s="274"/>
      <c r="E42" s="624">
        <v>0</v>
      </c>
      <c r="F42" s="586">
        <v>0</v>
      </c>
      <c r="G42" s="586">
        <v>0</v>
      </c>
      <c r="H42" s="586">
        <v>0</v>
      </c>
      <c r="I42" s="586">
        <v>0</v>
      </c>
      <c r="J42" s="586">
        <v>0</v>
      </c>
      <c r="K42" s="595">
        <v>0</v>
      </c>
      <c r="L42" s="274"/>
      <c r="M42" s="624">
        <v>0</v>
      </c>
      <c r="N42" s="586">
        <v>0</v>
      </c>
      <c r="O42" s="586">
        <v>0</v>
      </c>
      <c r="P42" s="586">
        <v>0</v>
      </c>
      <c r="Q42" s="586">
        <v>0</v>
      </c>
      <c r="R42" s="586">
        <v>0</v>
      </c>
      <c r="S42" s="595">
        <v>0</v>
      </c>
      <c r="T42" s="315"/>
      <c r="U42" s="624">
        <v>0</v>
      </c>
      <c r="V42" s="586">
        <f t="shared" si="0"/>
        <v>0</v>
      </c>
      <c r="W42" s="586">
        <v>0</v>
      </c>
      <c r="X42" s="542">
        <f t="shared" ref="X42:Z42" si="51">Y42-W42</f>
        <v>0</v>
      </c>
      <c r="Y42" s="586">
        <v>0</v>
      </c>
      <c r="Z42" s="542">
        <f t="shared" si="51"/>
        <v>0</v>
      </c>
      <c r="AA42" s="595">
        <v>0</v>
      </c>
      <c r="AB42" s="304"/>
      <c r="AC42" s="643">
        <v>563</v>
      </c>
      <c r="AD42" s="586">
        <f t="shared" si="2"/>
        <v>562</v>
      </c>
      <c r="AE42" s="586">
        <v>1125</v>
      </c>
      <c r="AF42" s="586">
        <f t="shared" si="3"/>
        <v>563</v>
      </c>
      <c r="AG42" s="586">
        <v>1688</v>
      </c>
      <c r="AH42" s="586">
        <f t="shared" si="4"/>
        <v>-0.5</v>
      </c>
      <c r="AI42" s="595">
        <v>1687.5</v>
      </c>
      <c r="AJ42" s="274"/>
    </row>
    <row r="43" spans="1:36" ht="17.25" outlineLevel="1" x14ac:dyDescent="0.4">
      <c r="A43" s="310" t="s">
        <v>163</v>
      </c>
      <c r="B43" s="302" t="s">
        <v>34</v>
      </c>
      <c r="C43" s="274"/>
      <c r="D43" s="274"/>
      <c r="E43" s="682">
        <v>13364.2</v>
      </c>
      <c r="F43" s="683">
        <v>-1635.3130000000001</v>
      </c>
      <c r="G43" s="683">
        <v>11728.887000000001</v>
      </c>
      <c r="H43" s="683">
        <v>1288.54</v>
      </c>
      <c r="I43" s="683">
        <v>13017.427</v>
      </c>
      <c r="J43" s="683">
        <v>-522.07100000000003</v>
      </c>
      <c r="K43" s="684">
        <v>12495.356</v>
      </c>
      <c r="L43" s="274"/>
      <c r="M43" s="675">
        <f>76.425+44563</f>
        <v>44639.425000000003</v>
      </c>
      <c r="N43" s="674">
        <f>-70+39267</f>
        <v>39197</v>
      </c>
      <c r="O43" s="674">
        <f>M43+N43</f>
        <v>83836.425000000003</v>
      </c>
      <c r="P43" s="674">
        <f>-68+37712</f>
        <v>37644</v>
      </c>
      <c r="Q43" s="674">
        <f>O43+P43</f>
        <v>121480.425</v>
      </c>
      <c r="R43" s="674">
        <f>S43-Q43</f>
        <v>18142.27399999999</v>
      </c>
      <c r="S43" s="680">
        <f>139621.699+1</f>
        <v>139622.69899999999</v>
      </c>
      <c r="T43" s="315"/>
      <c r="U43" s="675">
        <v>15448</v>
      </c>
      <c r="V43" s="674">
        <v>18062</v>
      </c>
      <c r="W43" s="674">
        <f>U43+V43</f>
        <v>33510</v>
      </c>
      <c r="X43" s="615">
        <f>Y43-W43</f>
        <v>36227.804000000004</v>
      </c>
      <c r="Y43" s="674">
        <v>69737.804000000004</v>
      </c>
      <c r="Z43" s="615">
        <f>AA43-Y43</f>
        <v>15076.718999999997</v>
      </c>
      <c r="AA43" s="680">
        <f>84813.523+1</f>
        <v>84814.523000000001</v>
      </c>
      <c r="AB43" s="304"/>
      <c r="AC43" s="673">
        <f>2+23631</f>
        <v>23633</v>
      </c>
      <c r="AD43" s="674">
        <v>11522</v>
      </c>
      <c r="AE43" s="674">
        <f>AC43+AD43</f>
        <v>35155</v>
      </c>
      <c r="AF43" s="674">
        <v>12346</v>
      </c>
      <c r="AG43" s="674">
        <f>AE43+AF43</f>
        <v>47501</v>
      </c>
      <c r="AH43" s="674">
        <v>19033</v>
      </c>
      <c r="AI43" s="680">
        <f>AG43+AH43+1</f>
        <v>66535</v>
      </c>
      <c r="AJ43" s="274"/>
    </row>
    <row r="44" spans="1:36" x14ac:dyDescent="0.25">
      <c r="A44" s="310" t="s">
        <v>65</v>
      </c>
      <c r="B44" s="308" t="s">
        <v>65</v>
      </c>
      <c r="C44" s="274"/>
      <c r="D44" s="274"/>
      <c r="E44" s="669">
        <f t="shared" ref="E44:J44" si="52">SUM(E36:E43)</f>
        <v>-11767.912543474999</v>
      </c>
      <c r="F44" s="672">
        <f t="shared" si="52"/>
        <v>-13660.397999999985</v>
      </c>
      <c r="G44" s="672">
        <f t="shared" si="52"/>
        <v>-25277.048000000017</v>
      </c>
      <c r="H44" s="672">
        <f t="shared" si="52"/>
        <v>-9916.2779999999984</v>
      </c>
      <c r="I44" s="672">
        <f t="shared" si="52"/>
        <v>-35193.326000000015</v>
      </c>
      <c r="J44" s="672">
        <f t="shared" si="52"/>
        <v>-6295.6619999999966</v>
      </c>
      <c r="K44" s="679">
        <f>SUM(K36:K43)</f>
        <v>-41488.988000000019</v>
      </c>
      <c r="L44" s="274"/>
      <c r="M44" s="567">
        <f t="shared" ref="M44:AH44" si="53">SUM(M36:M43)</f>
        <v>-10981.501000000004</v>
      </c>
      <c r="N44" s="608">
        <f t="shared" si="53"/>
        <v>-16397.255999999994</v>
      </c>
      <c r="O44" s="608">
        <f t="shared" si="53"/>
        <v>-27378.910000000018</v>
      </c>
      <c r="P44" s="608">
        <f t="shared" si="53"/>
        <v>-13334.743000000002</v>
      </c>
      <c r="Q44" s="608">
        <f t="shared" si="53"/>
        <v>-40713.652999999977</v>
      </c>
      <c r="R44" s="608">
        <f t="shared" si="53"/>
        <v>-14526.39699999999</v>
      </c>
      <c r="S44" s="622">
        <f t="shared" si="53"/>
        <v>-55239.96100000001</v>
      </c>
      <c r="T44" s="452"/>
      <c r="U44" s="567">
        <f>SUM(U36:U43)</f>
        <v>-8743.0080000000016</v>
      </c>
      <c r="V44" s="608">
        <f t="shared" si="53"/>
        <v>-12752.487000000001</v>
      </c>
      <c r="W44" s="608">
        <f t="shared" si="53"/>
        <v>-21495.494999999995</v>
      </c>
      <c r="X44" s="608">
        <f t="shared" si="53"/>
        <v>-11870.132000000005</v>
      </c>
      <c r="Y44" s="608">
        <f t="shared" si="53"/>
        <v>-33365.627000000008</v>
      </c>
      <c r="Z44" s="608">
        <f t="shared" si="53"/>
        <v>-15723.84299999999</v>
      </c>
      <c r="AA44" s="622">
        <f>SUM(AA36:AA43)</f>
        <v>-49089.470000000016</v>
      </c>
      <c r="AB44" s="452"/>
      <c r="AC44" s="567">
        <f t="shared" si="53"/>
        <v>-3030.9180000000015</v>
      </c>
      <c r="AD44" s="608">
        <f t="shared" si="53"/>
        <v>-5338.7829999999958</v>
      </c>
      <c r="AE44" s="608">
        <f t="shared" si="53"/>
        <v>-8369.7010000000009</v>
      </c>
      <c r="AF44" s="608">
        <f t="shared" si="53"/>
        <v>-3711.5989999999983</v>
      </c>
      <c r="AG44" s="608">
        <f t="shared" si="53"/>
        <v>-12081.299999999996</v>
      </c>
      <c r="AH44" s="608">
        <f t="shared" si="53"/>
        <v>-5579.7100000000064</v>
      </c>
      <c r="AI44" s="622">
        <f>SUM(AI36:AI43)</f>
        <v>-17661.010000000009</v>
      </c>
      <c r="AJ44" s="452"/>
    </row>
    <row r="45" spans="1:36" x14ac:dyDescent="0.25">
      <c r="B45" s="308"/>
      <c r="C45" s="274"/>
      <c r="D45" s="274"/>
      <c r="E45" s="639"/>
      <c r="F45" s="653"/>
      <c r="G45" s="653"/>
      <c r="H45" s="653"/>
      <c r="I45" s="653"/>
      <c r="J45" s="532"/>
      <c r="K45" s="657"/>
      <c r="L45" s="274"/>
      <c r="M45" s="572"/>
      <c r="N45" s="423"/>
      <c r="O45" s="423"/>
      <c r="P45" s="423"/>
      <c r="Q45" s="423"/>
      <c r="R45" s="406"/>
      <c r="S45" s="40"/>
      <c r="T45" s="315"/>
      <c r="U45" s="572"/>
      <c r="V45" s="423"/>
      <c r="W45" s="423"/>
      <c r="X45" s="406"/>
      <c r="Y45" s="423"/>
      <c r="Z45" s="406"/>
      <c r="AA45" s="40"/>
      <c r="AB45" s="304"/>
      <c r="AC45" s="84"/>
      <c r="AD45" s="423"/>
      <c r="AE45" s="423"/>
      <c r="AF45" s="423"/>
      <c r="AG45" s="423"/>
      <c r="AH45" s="423"/>
      <c r="AI45" s="40"/>
      <c r="AJ45" s="274"/>
    </row>
    <row r="46" spans="1:36" x14ac:dyDescent="0.25">
      <c r="B46" s="302"/>
      <c r="C46" s="274"/>
      <c r="D46" s="274"/>
      <c r="E46" s="639"/>
      <c r="F46" s="677"/>
      <c r="G46" s="677"/>
      <c r="H46" s="677"/>
      <c r="I46" s="677"/>
      <c r="J46" s="532"/>
      <c r="K46" s="657"/>
      <c r="L46" s="274"/>
      <c r="M46" s="572"/>
      <c r="N46" s="470"/>
      <c r="O46" s="470"/>
      <c r="P46" s="470"/>
      <c r="Q46" s="470"/>
      <c r="R46" s="406"/>
      <c r="S46" s="40"/>
      <c r="T46" s="315"/>
      <c r="U46" s="572"/>
      <c r="V46" s="470"/>
      <c r="W46" s="470"/>
      <c r="X46" s="406"/>
      <c r="Y46" s="470"/>
      <c r="Z46" s="406"/>
      <c r="AA46" s="40"/>
      <c r="AB46" s="304"/>
      <c r="AC46" s="471"/>
      <c r="AD46" s="470"/>
      <c r="AE46" s="470"/>
      <c r="AF46" s="470"/>
      <c r="AG46" s="470"/>
      <c r="AH46" s="423"/>
      <c r="AI46" s="40"/>
      <c r="AJ46" s="274"/>
    </row>
    <row r="47" spans="1:36" x14ac:dyDescent="0.25">
      <c r="A47" s="310" t="s">
        <v>221</v>
      </c>
      <c r="B47" s="308" t="s">
        <v>25</v>
      </c>
      <c r="C47" s="274"/>
      <c r="D47" s="274"/>
      <c r="E47" s="639">
        <f>260673.368+65541.622</f>
        <v>326214.99</v>
      </c>
      <c r="F47" s="654"/>
      <c r="G47" s="654">
        <v>301291.696</v>
      </c>
      <c r="H47" s="654"/>
      <c r="I47" s="654">
        <v>290076.32900000003</v>
      </c>
      <c r="J47" s="532"/>
      <c r="K47" s="658">
        <v>0</v>
      </c>
      <c r="L47" s="274"/>
      <c r="M47" s="473">
        <f>814142-572611</f>
        <v>241531</v>
      </c>
      <c r="N47" s="654"/>
      <c r="O47" s="429">
        <f>900874-624935</f>
        <v>275939</v>
      </c>
      <c r="P47" s="654"/>
      <c r="Q47" s="429">
        <f>985535-695417</f>
        <v>290118</v>
      </c>
      <c r="R47" s="532"/>
      <c r="S47" s="717">
        <f>251718.052+64920</f>
        <v>316638.05200000003</v>
      </c>
      <c r="T47" s="315"/>
      <c r="U47" s="429">
        <f>549694-379631</f>
        <v>170063</v>
      </c>
      <c r="V47" s="698"/>
      <c r="W47" s="429">
        <f>603964-418412</f>
        <v>185552</v>
      </c>
      <c r="X47" s="698"/>
      <c r="Y47" s="429">
        <f>658355.462-461756</f>
        <v>196599.46200000006</v>
      </c>
      <c r="Z47" s="698"/>
      <c r="AA47" s="721">
        <f>721597.127-491840</f>
        <v>229757.12699999998</v>
      </c>
      <c r="AB47" s="304"/>
      <c r="AC47" s="473">
        <f>387593-282614</f>
        <v>104979</v>
      </c>
      <c r="AD47"/>
      <c r="AE47" s="429">
        <f>419076-286770</f>
        <v>132306</v>
      </c>
      <c r="AF47" s="654"/>
      <c r="AG47" s="429">
        <f>445025-298939</f>
        <v>146086</v>
      </c>
      <c r="AH47" s="654"/>
      <c r="AI47" s="717">
        <f>500043-356226</f>
        <v>143817</v>
      </c>
      <c r="AJ47" s="274"/>
    </row>
    <row r="48" spans="1:36" ht="17.25" x14ac:dyDescent="0.4">
      <c r="B48" s="308"/>
      <c r="C48" s="274"/>
      <c r="D48" s="274"/>
      <c r="E48" s="639"/>
      <c r="F48" s="674"/>
      <c r="G48" s="674"/>
      <c r="H48" s="674"/>
      <c r="I48" s="674"/>
      <c r="J48" s="532"/>
      <c r="K48" s="680"/>
      <c r="L48" s="274"/>
      <c r="M48" s="639"/>
      <c r="N48" s="674"/>
      <c r="O48" s="674"/>
      <c r="P48" s="674"/>
      <c r="Q48" s="674"/>
      <c r="R48" s="532"/>
      <c r="S48" s="718"/>
      <c r="T48" s="315"/>
      <c r="U48" s="639"/>
      <c r="V48" s="674"/>
      <c r="W48" s="674"/>
      <c r="X48" s="532"/>
      <c r="Y48" s="653"/>
      <c r="Z48" s="532"/>
      <c r="AA48" s="718"/>
      <c r="AB48" s="304"/>
      <c r="AC48" s="673"/>
      <c r="AD48"/>
      <c r="AE48" s="674"/>
      <c r="AF48" s="674"/>
      <c r="AG48" s="674"/>
      <c r="AH48" s="674"/>
      <c r="AI48" s="718"/>
      <c r="AJ48" s="274"/>
    </row>
    <row r="49" spans="1:36" outlineLevel="1" x14ac:dyDescent="0.25">
      <c r="A49" s="310" t="s">
        <v>222</v>
      </c>
      <c r="B49" s="302" t="s">
        <v>26</v>
      </c>
      <c r="C49" s="274"/>
      <c r="D49" s="274"/>
      <c r="E49" s="637">
        <v>662561.00200000009</v>
      </c>
      <c r="F49" s="676"/>
      <c r="G49" s="676">
        <v>693095.38300000003</v>
      </c>
      <c r="H49" s="676"/>
      <c r="I49" s="676">
        <v>709663.49</v>
      </c>
      <c r="J49" s="542"/>
      <c r="K49" s="685">
        <v>0</v>
      </c>
      <c r="L49" s="274"/>
      <c r="M49" s="637">
        <v>454231.86</v>
      </c>
      <c r="N49" s="676"/>
      <c r="O49" s="676">
        <v>532778</v>
      </c>
      <c r="P49" s="676"/>
      <c r="Q49" s="676">
        <v>592230</v>
      </c>
      <c r="R49" s="542"/>
      <c r="S49" s="722">
        <v>626198</v>
      </c>
      <c r="T49" s="315"/>
      <c r="U49" s="637">
        <v>272146</v>
      </c>
      <c r="V49" s="676"/>
      <c r="W49" s="676">
        <v>315357</v>
      </c>
      <c r="X49" s="542"/>
      <c r="Y49" s="653">
        <v>350243.82900000003</v>
      </c>
      <c r="Z49" s="542"/>
      <c r="AA49" s="719">
        <v>385352.61599999998</v>
      </c>
      <c r="AB49" s="304"/>
      <c r="AC49" s="699">
        <v>165330</v>
      </c>
      <c r="AD49"/>
      <c r="AE49" s="676">
        <v>198442</v>
      </c>
      <c r="AF49" s="676"/>
      <c r="AG49" s="676">
        <v>212313</v>
      </c>
      <c r="AH49" s="676"/>
      <c r="AI49" s="719">
        <v>248393</v>
      </c>
      <c r="AJ49" s="274"/>
    </row>
    <row r="50" spans="1:36" ht="17.25" outlineLevel="1" x14ac:dyDescent="0.4">
      <c r="B50" s="302" t="s">
        <v>28</v>
      </c>
      <c r="C50" s="274"/>
      <c r="D50" s="274"/>
      <c r="E50" s="638">
        <v>392804.62199999997</v>
      </c>
      <c r="F50" s="676"/>
      <c r="G50" s="674">
        <v>408176.47999999986</v>
      </c>
      <c r="H50" s="676"/>
      <c r="I50" s="674">
        <v>413389.37899999996</v>
      </c>
      <c r="J50" s="613"/>
      <c r="K50" s="680">
        <v>0</v>
      </c>
      <c r="L50" s="274"/>
      <c r="M50" s="638">
        <f>M51-M49</f>
        <v>261980.14</v>
      </c>
      <c r="N50" s="676"/>
      <c r="O50" s="616">
        <f>O51-O49</f>
        <v>291822</v>
      </c>
      <c r="P50" s="676"/>
      <c r="Q50" s="616">
        <f>Q51-Q49</f>
        <v>319197</v>
      </c>
      <c r="R50" s="613"/>
      <c r="S50" s="720">
        <f>S51-S49</f>
        <v>367890.25899999996</v>
      </c>
      <c r="T50" s="315"/>
      <c r="U50" s="638">
        <f>U51-U49</f>
        <v>157837</v>
      </c>
      <c r="V50" s="676"/>
      <c r="W50" s="616">
        <f>W51-W49</f>
        <v>170364</v>
      </c>
      <c r="X50" s="676"/>
      <c r="Y50" s="616">
        <f>Y51-Y49</f>
        <v>205702.49</v>
      </c>
      <c r="Z50" s="613"/>
      <c r="AA50" s="720">
        <f>AA51-AA49</f>
        <v>248789.67499999999</v>
      </c>
      <c r="AB50" s="304"/>
      <c r="AC50" s="638">
        <f>AC51-AC49</f>
        <v>70873</v>
      </c>
      <c r="AD50" s="676"/>
      <c r="AE50" s="616">
        <f>AE51-AE49</f>
        <v>86355</v>
      </c>
      <c r="AF50" s="676"/>
      <c r="AG50" s="616">
        <f>AG51-AG49</f>
        <v>107648</v>
      </c>
      <c r="AH50" s="613"/>
      <c r="AI50" s="720">
        <f>AI51-AI49</f>
        <v>123607</v>
      </c>
      <c r="AJ50" s="274"/>
    </row>
    <row r="51" spans="1:36" x14ac:dyDescent="0.25">
      <c r="A51" s="310" t="s">
        <v>223</v>
      </c>
      <c r="B51" s="308" t="s">
        <v>29</v>
      </c>
      <c r="C51" s="274"/>
      <c r="D51" s="274"/>
      <c r="E51" s="639">
        <f>989824.002+65541.622</f>
        <v>1055365.6240000001</v>
      </c>
      <c r="F51" s="653"/>
      <c r="G51" s="653">
        <v>1101271.8629999999</v>
      </c>
      <c r="H51" s="653"/>
      <c r="I51" s="653">
        <v>1123052.8689999999</v>
      </c>
      <c r="J51" s="532"/>
      <c r="K51" s="657">
        <v>0</v>
      </c>
      <c r="L51" s="274"/>
      <c r="M51" s="473">
        <f>534883+181329</f>
        <v>716212</v>
      </c>
      <c r="N51" s="653"/>
      <c r="O51" s="429">
        <f>606147+218453</f>
        <v>824600</v>
      </c>
      <c r="P51" s="653"/>
      <c r="Q51" s="429">
        <f>664964+246463</f>
        <v>911427</v>
      </c>
      <c r="R51" s="532"/>
      <c r="S51" s="717">
        <f>929168.259+64920</f>
        <v>994088.25899999996</v>
      </c>
      <c r="T51" s="315"/>
      <c r="U51" s="429">
        <f>334490+95493</f>
        <v>429983</v>
      </c>
      <c r="V51" s="653"/>
      <c r="W51" s="429">
        <f>381397+104324</f>
        <v>485721</v>
      </c>
      <c r="X51" s="532"/>
      <c r="Y51" s="429">
        <f>420770.319+135176</f>
        <v>555946.31900000002</v>
      </c>
      <c r="Z51" s="532"/>
      <c r="AA51" s="721">
        <f>463026.291+171116</f>
        <v>634142.29099999997</v>
      </c>
      <c r="AB51" s="304"/>
      <c r="AC51" s="691">
        <f>203131+33072</f>
        <v>236203</v>
      </c>
      <c r="AD51"/>
      <c r="AE51" s="532">
        <f>229128+55669</f>
        <v>284797</v>
      </c>
      <c r="AF51" s="653"/>
      <c r="AG51" s="532">
        <f>246625+73336</f>
        <v>319961</v>
      </c>
      <c r="AH51" s="653"/>
      <c r="AI51" s="717">
        <f>295201+76799</f>
        <v>372000</v>
      </c>
      <c r="AJ51" s="274"/>
    </row>
    <row r="52" spans="1:36" ht="17.25" x14ac:dyDescent="0.4">
      <c r="B52" s="308"/>
      <c r="C52" s="274"/>
      <c r="D52" s="274"/>
      <c r="E52" s="639"/>
      <c r="F52" s="674"/>
      <c r="G52" s="674"/>
      <c r="H52" s="674"/>
      <c r="I52" s="674"/>
      <c r="J52" s="532"/>
      <c r="K52" s="680"/>
      <c r="L52" s="274"/>
      <c r="M52" s="639"/>
      <c r="N52" s="674"/>
      <c r="O52" s="674"/>
      <c r="P52" s="674"/>
      <c r="Q52" s="674"/>
      <c r="R52" s="532"/>
      <c r="S52" s="680"/>
      <c r="T52" s="315"/>
      <c r="U52" s="639"/>
      <c r="V52" s="674"/>
      <c r="W52" s="674"/>
      <c r="X52" s="532"/>
      <c r="Y52" s="653"/>
      <c r="Z52" s="532"/>
      <c r="AA52" s="680"/>
      <c r="AB52" s="304"/>
      <c r="AC52" s="673"/>
      <c r="AD52"/>
      <c r="AE52" s="674"/>
      <c r="AF52" s="674"/>
      <c r="AG52" s="674"/>
      <c r="AH52" s="674"/>
      <c r="AI52" s="680"/>
      <c r="AJ52" s="274"/>
    </row>
    <row r="53" spans="1:36" x14ac:dyDescent="0.25">
      <c r="A53" s="310" t="s">
        <v>224</v>
      </c>
      <c r="B53" s="308" t="s">
        <v>36</v>
      </c>
      <c r="C53" s="274"/>
      <c r="D53" s="274"/>
      <c r="E53" s="639">
        <v>-729150.63399999996</v>
      </c>
      <c r="F53" s="653"/>
      <c r="G53" s="653">
        <v>-799980.16700000002</v>
      </c>
      <c r="H53" s="653"/>
      <c r="I53" s="653">
        <v>-832976.54</v>
      </c>
      <c r="J53" s="532"/>
      <c r="K53" s="657">
        <v>0</v>
      </c>
      <c r="L53" s="274"/>
      <c r="M53" s="473">
        <f>279258.567-451553</f>
        <v>-172294.43300000002</v>
      </c>
      <c r="N53" s="653"/>
      <c r="O53" s="429">
        <f>294727-505160</f>
        <v>-210433</v>
      </c>
      <c r="P53" s="653"/>
      <c r="Q53" s="429">
        <f>320571-564741</f>
        <v>-244170</v>
      </c>
      <c r="R53" s="532"/>
      <c r="S53" s="332">
        <f>355040-618173</f>
        <v>-263133</v>
      </c>
      <c r="T53" s="315"/>
      <c r="U53" s="429">
        <f>215204-284556</f>
        <v>-69352</v>
      </c>
      <c r="V53" s="698"/>
      <c r="W53" s="429">
        <f>222567-313071</f>
        <v>-90504</v>
      </c>
      <c r="X53" s="698"/>
      <c r="Y53" s="429">
        <f>237585.143-357462</f>
        <v>-119876.85699999999</v>
      </c>
      <c r="Z53" s="698"/>
      <c r="AA53" s="429">
        <f>258570.836-397090</f>
        <v>-138519.16399999999</v>
      </c>
      <c r="AB53" s="304"/>
      <c r="AC53" s="473">
        <f>184462-189069</f>
        <v>-4607</v>
      </c>
      <c r="AD53"/>
      <c r="AE53" s="429">
        <f>189948-205091</f>
        <v>-15143</v>
      </c>
      <c r="AF53" s="653"/>
      <c r="AG53" s="429">
        <f>198400-222960</f>
        <v>-24560</v>
      </c>
      <c r="AH53" s="653"/>
      <c r="AI53" s="332">
        <f>204842-259343</f>
        <v>-54501</v>
      </c>
      <c r="AJ53" s="274"/>
    </row>
    <row r="54" spans="1:36" x14ac:dyDescent="0.25">
      <c r="B54" s="302"/>
      <c r="C54" s="274"/>
      <c r="D54" s="274"/>
      <c r="E54" s="575"/>
      <c r="F54" s="423"/>
      <c r="G54" s="423"/>
      <c r="H54" s="423"/>
      <c r="I54" s="423"/>
      <c r="J54" s="406"/>
      <c r="K54" s="40"/>
      <c r="L54" s="274"/>
      <c r="M54" s="639"/>
      <c r="N54" s="653"/>
      <c r="O54" s="653"/>
      <c r="P54" s="653"/>
      <c r="Q54" s="653"/>
      <c r="R54" s="532"/>
      <c r="S54" s="657"/>
      <c r="T54" s="315"/>
      <c r="U54" s="639"/>
      <c r="V54" s="653"/>
      <c r="W54" s="653"/>
      <c r="X54" s="532"/>
      <c r="Y54" s="656"/>
      <c r="Z54" s="532"/>
      <c r="AA54" s="657"/>
      <c r="AB54" s="304"/>
      <c r="AC54" s="697"/>
      <c r="AD54" s="653"/>
      <c r="AE54" s="653"/>
      <c r="AF54" s="653"/>
      <c r="AG54" s="653"/>
      <c r="AH54" s="653"/>
      <c r="AI54" s="657"/>
      <c r="AJ54" s="274"/>
    </row>
    <row r="55" spans="1:36" x14ac:dyDescent="0.25">
      <c r="A55" s="310" t="s">
        <v>231</v>
      </c>
      <c r="B55" s="308" t="s">
        <v>66</v>
      </c>
      <c r="C55" s="274"/>
      <c r="D55" s="274"/>
      <c r="E55" s="575">
        <v>3831</v>
      </c>
      <c r="F55" s="653">
        <f>G55-E55</f>
        <v>2496</v>
      </c>
      <c r="G55" s="653">
        <v>6327</v>
      </c>
      <c r="H55" s="653">
        <f>I55-G55</f>
        <v>172</v>
      </c>
      <c r="I55" s="653">
        <v>6499</v>
      </c>
      <c r="J55" s="653">
        <f>K55-I55</f>
        <v>0</v>
      </c>
      <c r="K55" s="657">
        <v>6499</v>
      </c>
      <c r="L55" s="274"/>
      <c r="M55" s="639">
        <v>1996</v>
      </c>
      <c r="N55" s="653">
        <v>2095</v>
      </c>
      <c r="O55" s="653">
        <v>4091</v>
      </c>
      <c r="P55" s="653">
        <v>1818</v>
      </c>
      <c r="Q55" s="653">
        <v>5909</v>
      </c>
      <c r="R55" s="653">
        <f>S55-Q55</f>
        <v>2515</v>
      </c>
      <c r="S55" s="657">
        <v>8424</v>
      </c>
      <c r="T55" s="315"/>
      <c r="U55" s="639">
        <v>5206</v>
      </c>
      <c r="V55" s="653">
        <f>W55-U55</f>
        <v>3380</v>
      </c>
      <c r="W55" s="653">
        <v>8586</v>
      </c>
      <c r="X55" s="532">
        <f t="shared" ref="X55:Z55" si="54">Y55-W55</f>
        <v>3790</v>
      </c>
      <c r="Y55" s="532">
        <v>12376</v>
      </c>
      <c r="Z55" s="532">
        <f t="shared" si="54"/>
        <v>2830</v>
      </c>
      <c r="AA55" s="657">
        <v>15206</v>
      </c>
      <c r="AB55" s="304"/>
      <c r="AC55" s="697">
        <v>487</v>
      </c>
      <c r="AD55" s="653">
        <f>AE55-AC55</f>
        <v>890</v>
      </c>
      <c r="AE55" s="653">
        <v>1377</v>
      </c>
      <c r="AF55" s="653">
        <f t="shared" si="3"/>
        <v>3467</v>
      </c>
      <c r="AG55" s="653">
        <v>4844</v>
      </c>
      <c r="AH55" s="653">
        <f>AI55-AG55</f>
        <v>4597</v>
      </c>
      <c r="AI55" s="657">
        <v>9441</v>
      </c>
      <c r="AJ55" s="274"/>
    </row>
    <row r="56" spans="1:36" x14ac:dyDescent="0.25">
      <c r="B56" s="308"/>
      <c r="C56" s="274"/>
      <c r="D56" s="274"/>
      <c r="E56" s="575"/>
      <c r="F56" s="654"/>
      <c r="G56" s="654"/>
      <c r="H56" s="654"/>
      <c r="I56" s="654"/>
      <c r="J56" s="654"/>
      <c r="K56" s="658"/>
      <c r="L56" s="274"/>
      <c r="M56" s="575"/>
      <c r="N56" s="429"/>
      <c r="O56" s="429"/>
      <c r="P56" s="429"/>
      <c r="Q56" s="429"/>
      <c r="R56" s="429"/>
      <c r="S56" s="332"/>
      <c r="T56" s="315"/>
      <c r="U56" s="575"/>
      <c r="V56" s="429"/>
      <c r="W56" s="429"/>
      <c r="X56" s="406"/>
      <c r="Y56" s="445"/>
      <c r="Z56" s="406"/>
      <c r="AA56" s="332"/>
      <c r="AB56" s="304"/>
      <c r="AC56" s="473"/>
      <c r="AD56" s="429"/>
      <c r="AE56" s="429"/>
      <c r="AF56" s="429"/>
      <c r="AG56" s="429"/>
      <c r="AH56" s="429"/>
      <c r="AI56" s="332"/>
      <c r="AJ56" s="274"/>
    </row>
    <row r="57" spans="1:36" x14ac:dyDescent="0.25">
      <c r="A57" s="310" t="s">
        <v>232</v>
      </c>
      <c r="B57" s="419" t="s">
        <v>170</v>
      </c>
      <c r="C57" s="274"/>
      <c r="D57" s="274"/>
      <c r="E57" s="575">
        <v>0</v>
      </c>
      <c r="F57" s="654">
        <v>0</v>
      </c>
      <c r="G57" s="654">
        <v>0</v>
      </c>
      <c r="H57" s="429">
        <v>0</v>
      </c>
      <c r="I57" s="429">
        <v>0</v>
      </c>
      <c r="J57" s="429">
        <v>0</v>
      </c>
      <c r="K57" s="332">
        <v>0</v>
      </c>
      <c r="L57" s="274"/>
      <c r="M57" s="575">
        <v>0</v>
      </c>
      <c r="N57" s="429">
        <v>0</v>
      </c>
      <c r="O57" s="429">
        <v>0</v>
      </c>
      <c r="P57" s="429">
        <v>0</v>
      </c>
      <c r="Q57" s="429">
        <v>0</v>
      </c>
      <c r="R57" s="429">
        <v>0</v>
      </c>
      <c r="S57" s="332">
        <v>0</v>
      </c>
      <c r="T57" s="315"/>
      <c r="U57" s="575">
        <v>0</v>
      </c>
      <c r="V57" s="429"/>
      <c r="W57" s="429"/>
      <c r="X57" s="406">
        <f t="shared" ref="X57:Z57" si="55">Y57-W57</f>
        <v>0</v>
      </c>
      <c r="Y57" s="445">
        <v>0</v>
      </c>
      <c r="Z57" s="406">
        <f t="shared" si="55"/>
        <v>0</v>
      </c>
      <c r="AA57" s="332">
        <v>0</v>
      </c>
      <c r="AB57" s="304"/>
      <c r="AC57" s="473">
        <v>0</v>
      </c>
      <c r="AD57" s="429"/>
      <c r="AE57" s="429"/>
      <c r="AF57" s="429"/>
      <c r="AG57" s="429"/>
      <c r="AH57" s="429"/>
      <c r="AI57" s="332"/>
      <c r="AJ57" s="274"/>
    </row>
    <row r="58" spans="1:36" x14ac:dyDescent="0.25">
      <c r="B58" s="308"/>
      <c r="C58" s="274"/>
      <c r="D58" s="274"/>
      <c r="E58" s="304"/>
      <c r="F58" s="274"/>
      <c r="G58" s="274"/>
      <c r="H58" s="274"/>
      <c r="I58" s="274"/>
      <c r="J58" s="274"/>
      <c r="K58" s="315"/>
      <c r="L58" s="274"/>
      <c r="M58" s="304"/>
      <c r="N58" s="274"/>
      <c r="O58" s="274"/>
      <c r="P58" s="274"/>
      <c r="Q58" s="274"/>
      <c r="R58" s="274"/>
      <c r="S58" s="315"/>
      <c r="T58" s="315"/>
      <c r="U58" s="304"/>
      <c r="V58" s="274"/>
      <c r="W58" s="274"/>
      <c r="X58" s="274"/>
      <c r="Y58" s="274"/>
      <c r="Z58" s="274"/>
      <c r="AA58" s="315"/>
      <c r="AB58" s="304"/>
      <c r="AC58" s="304"/>
      <c r="AD58" s="274"/>
      <c r="AE58" s="274"/>
      <c r="AF58" s="274"/>
      <c r="AG58" s="274"/>
      <c r="AH58" s="274"/>
      <c r="AI58" s="315"/>
      <c r="AJ58" s="274"/>
    </row>
    <row r="59" spans="1:36" x14ac:dyDescent="0.25">
      <c r="B59" s="309" t="s">
        <v>67</v>
      </c>
      <c r="C59" s="274"/>
      <c r="D59" s="274"/>
      <c r="E59" s="304"/>
      <c r="F59" s="274"/>
      <c r="G59" s="274"/>
      <c r="H59" s="274"/>
      <c r="I59" s="274"/>
      <c r="J59" s="274"/>
      <c r="K59" s="315"/>
      <c r="L59" s="274"/>
      <c r="M59" s="304"/>
      <c r="N59" s="274"/>
      <c r="O59" s="274"/>
      <c r="P59" s="274"/>
      <c r="Q59" s="331">
        <v>1000</v>
      </c>
      <c r="R59" s="274"/>
      <c r="S59" s="315"/>
      <c r="T59" s="315"/>
      <c r="U59" s="304"/>
      <c r="V59" s="274"/>
      <c r="W59" s="274"/>
      <c r="X59" s="274"/>
      <c r="Y59" s="274"/>
      <c r="Z59" s="274"/>
      <c r="AA59" s="315"/>
      <c r="AB59" s="304"/>
      <c r="AC59" s="304"/>
      <c r="AD59" s="274"/>
      <c r="AE59" s="274"/>
      <c r="AF59" s="274"/>
      <c r="AG59" s="274"/>
      <c r="AH59" s="274"/>
      <c r="AI59" s="315"/>
      <c r="AJ59" s="274"/>
    </row>
    <row r="60" spans="1:36" x14ac:dyDescent="0.25">
      <c r="B60" s="308" t="s">
        <v>68</v>
      </c>
      <c r="C60" s="274"/>
      <c r="D60" s="274"/>
      <c r="E60" s="322"/>
      <c r="F60" s="430"/>
      <c r="G60" s="430"/>
      <c r="H60" s="430"/>
      <c r="I60" s="430"/>
      <c r="J60" s="430"/>
      <c r="K60" s="70">
        <v>0.59899999999999998</v>
      </c>
      <c r="L60" s="274"/>
      <c r="M60" s="322"/>
      <c r="N60" s="430"/>
      <c r="O60" s="430"/>
      <c r="P60" s="430"/>
      <c r="Q60" s="430"/>
      <c r="R60" s="430"/>
      <c r="S60" s="70">
        <v>0.59899999999999998</v>
      </c>
      <c r="T60" s="315"/>
      <c r="U60" s="322"/>
      <c r="V60" s="430"/>
      <c r="W60" s="430"/>
      <c r="X60" s="430"/>
      <c r="Y60" s="430"/>
      <c r="Z60" s="430"/>
      <c r="AA60" s="70">
        <v>0.59899999999999998</v>
      </c>
      <c r="AB60" s="304"/>
      <c r="AC60" s="322"/>
      <c r="AD60" s="430"/>
      <c r="AE60" s="430"/>
      <c r="AF60" s="430"/>
      <c r="AG60" s="430"/>
      <c r="AH60" s="430"/>
      <c r="AI60" s="70">
        <v>0.59899999999999998</v>
      </c>
      <c r="AJ60" s="274"/>
    </row>
    <row r="61" spans="1:36" ht="15.75" thickBot="1" x14ac:dyDescent="0.3">
      <c r="B61" s="334" t="s">
        <v>69</v>
      </c>
      <c r="C61" s="274"/>
      <c r="D61" s="274"/>
      <c r="E61" s="323"/>
      <c r="F61" s="58"/>
      <c r="G61" s="58"/>
      <c r="H61" s="58"/>
      <c r="I61" s="58"/>
      <c r="J61" s="58"/>
      <c r="K61" s="73">
        <v>0.55000000000000004</v>
      </c>
      <c r="L61" s="274"/>
      <c r="M61" s="323"/>
      <c r="N61" s="58"/>
      <c r="O61" s="58"/>
      <c r="P61" s="58"/>
      <c r="Q61" s="58"/>
      <c r="R61" s="58"/>
      <c r="S61" s="73">
        <v>0.55000000000000004</v>
      </c>
      <c r="T61" s="315"/>
      <c r="U61" s="323"/>
      <c r="V61" s="58"/>
      <c r="W61" s="58"/>
      <c r="X61" s="58"/>
      <c r="Y61" s="58"/>
      <c r="Z61" s="58"/>
      <c r="AA61" s="73">
        <v>0.55500000000000005</v>
      </c>
      <c r="AB61" s="304"/>
      <c r="AC61" s="323"/>
      <c r="AD61" s="58"/>
      <c r="AE61" s="58"/>
      <c r="AF61" s="58"/>
      <c r="AG61" s="58"/>
      <c r="AH61" s="58"/>
      <c r="AI61" s="73">
        <v>0.55200000000000005</v>
      </c>
      <c r="AJ61" s="274"/>
    </row>
    <row r="62" spans="1:36" hidden="1" outlineLevel="1" x14ac:dyDescent="0.25"/>
    <row r="63" spans="1:36" hidden="1" outlineLevel="1" x14ac:dyDescent="0.25">
      <c r="B63" s="275" t="s">
        <v>37</v>
      </c>
      <c r="E63" s="276">
        <f t="shared" ref="E63:K63" si="56">E17-E18-E19</f>
        <v>0</v>
      </c>
      <c r="F63" s="276">
        <f t="shared" si="56"/>
        <v>0</v>
      </c>
      <c r="G63" s="276">
        <f t="shared" si="56"/>
        <v>0</v>
      </c>
      <c r="H63" s="276">
        <f t="shared" si="56"/>
        <v>0</v>
      </c>
      <c r="I63" s="276">
        <f t="shared" si="56"/>
        <v>0</v>
      </c>
      <c r="J63" s="276">
        <f t="shared" si="56"/>
        <v>0</v>
      </c>
      <c r="K63" s="276">
        <f t="shared" si="56"/>
        <v>0</v>
      </c>
      <c r="M63" s="276">
        <f t="shared" ref="M63:S63" si="57">M17-M18-M19</f>
        <v>0</v>
      </c>
      <c r="N63" s="276">
        <f t="shared" si="57"/>
        <v>0</v>
      </c>
      <c r="O63" s="276">
        <f t="shared" si="57"/>
        <v>0</v>
      </c>
      <c r="P63" s="276">
        <f t="shared" si="57"/>
        <v>0</v>
      </c>
      <c r="Q63" s="276">
        <f t="shared" si="57"/>
        <v>0</v>
      </c>
      <c r="R63" s="276">
        <f t="shared" si="57"/>
        <v>0</v>
      </c>
      <c r="S63" s="276">
        <f t="shared" si="57"/>
        <v>0</v>
      </c>
      <c r="U63" s="276">
        <f t="shared" ref="U63:AA63" si="58">U17-U18-U19</f>
        <v>0</v>
      </c>
      <c r="V63" s="276">
        <f t="shared" si="58"/>
        <v>0</v>
      </c>
      <c r="W63" s="276">
        <f t="shared" si="58"/>
        <v>0</v>
      </c>
      <c r="X63" s="276">
        <f t="shared" si="58"/>
        <v>0</v>
      </c>
      <c r="Y63" s="276">
        <f t="shared" si="58"/>
        <v>0</v>
      </c>
      <c r="Z63" s="276">
        <f t="shared" si="58"/>
        <v>0</v>
      </c>
      <c r="AA63" s="276">
        <f t="shared" si="58"/>
        <v>0</v>
      </c>
      <c r="AC63" s="276">
        <f>AC17-AC18-AC19</f>
        <v>0</v>
      </c>
      <c r="AD63" s="276">
        <f t="shared" ref="AD63:AI63" si="59">AD17-AD18-AD19</f>
        <v>0</v>
      </c>
      <c r="AE63" s="276">
        <f t="shared" si="59"/>
        <v>0</v>
      </c>
      <c r="AF63" s="276">
        <f t="shared" si="59"/>
        <v>0</v>
      </c>
      <c r="AG63" s="276">
        <f t="shared" si="59"/>
        <v>0</v>
      </c>
      <c r="AH63" s="276">
        <f t="shared" si="59"/>
        <v>0</v>
      </c>
      <c r="AI63" s="276">
        <f t="shared" si="59"/>
        <v>0</v>
      </c>
    </row>
    <row r="64" spans="1:36" hidden="1" outlineLevel="1" x14ac:dyDescent="0.25">
      <c r="B64" s="277" t="s">
        <v>38</v>
      </c>
      <c r="E64" s="276">
        <f t="shared" ref="E64:K64" si="60">E19-SUM(E20:E23)-E24</f>
        <v>0</v>
      </c>
      <c r="F64" s="276">
        <f t="shared" si="60"/>
        <v>0</v>
      </c>
      <c r="G64" s="276">
        <f t="shared" si="60"/>
        <v>0</v>
      </c>
      <c r="H64" s="276">
        <f t="shared" si="60"/>
        <v>0</v>
      </c>
      <c r="I64" s="276">
        <f t="shared" si="60"/>
        <v>0</v>
      </c>
      <c r="J64" s="276">
        <f t="shared" si="60"/>
        <v>0</v>
      </c>
      <c r="K64" s="276">
        <f t="shared" si="60"/>
        <v>0</v>
      </c>
      <c r="M64" s="276">
        <f t="shared" ref="M64:S64" si="61">M19-SUM(M20:M23)-M24</f>
        <v>0</v>
      </c>
      <c r="N64" s="276">
        <f t="shared" si="61"/>
        <v>0</v>
      </c>
      <c r="O64" s="276">
        <f t="shared" si="61"/>
        <v>0</v>
      </c>
      <c r="P64" s="276">
        <f t="shared" si="61"/>
        <v>0</v>
      </c>
      <c r="Q64" s="276">
        <f t="shared" si="61"/>
        <v>0</v>
      </c>
      <c r="R64" s="276">
        <f t="shared" si="61"/>
        <v>0</v>
      </c>
      <c r="S64" s="276">
        <f t="shared" si="61"/>
        <v>0</v>
      </c>
      <c r="U64" s="276">
        <f t="shared" ref="U64:AA64" si="62">U19-SUM(U20:U23)-U24</f>
        <v>0</v>
      </c>
      <c r="V64" s="276">
        <f t="shared" si="62"/>
        <v>0</v>
      </c>
      <c r="W64" s="276">
        <f t="shared" si="62"/>
        <v>0</v>
      </c>
      <c r="X64" s="276">
        <f t="shared" si="62"/>
        <v>0</v>
      </c>
      <c r="Y64" s="276">
        <f t="shared" si="62"/>
        <v>0</v>
      </c>
      <c r="Z64" s="276">
        <f t="shared" si="62"/>
        <v>0</v>
      </c>
      <c r="AA64" s="276">
        <f t="shared" si="62"/>
        <v>0</v>
      </c>
      <c r="AC64" s="276">
        <f t="shared" ref="AC64:AI64" si="63">AC19-SUM(AC20:AC23)-AC24</f>
        <v>0</v>
      </c>
      <c r="AD64" s="276">
        <f t="shared" si="63"/>
        <v>0</v>
      </c>
      <c r="AE64" s="276">
        <f t="shared" si="63"/>
        <v>0</v>
      </c>
      <c r="AF64" s="276">
        <f t="shared" si="63"/>
        <v>0</v>
      </c>
      <c r="AG64" s="276">
        <f t="shared" si="63"/>
        <v>0</v>
      </c>
      <c r="AH64" s="276">
        <f t="shared" si="63"/>
        <v>0</v>
      </c>
      <c r="AI64" s="276">
        <f t="shared" si="63"/>
        <v>0</v>
      </c>
    </row>
    <row r="65" spans="1:35" hidden="1" outlineLevel="1" x14ac:dyDescent="0.25">
      <c r="B65" s="277" t="s">
        <v>24</v>
      </c>
      <c r="E65" s="276">
        <f t="shared" ref="E65:K65" si="64">E24-SUM(E25:E28)-E29</f>
        <v>0</v>
      </c>
      <c r="F65" s="276">
        <f t="shared" si="64"/>
        <v>0</v>
      </c>
      <c r="G65" s="276">
        <f t="shared" si="64"/>
        <v>0</v>
      </c>
      <c r="H65" s="276">
        <f t="shared" si="64"/>
        <v>0</v>
      </c>
      <c r="I65" s="276">
        <f t="shared" si="64"/>
        <v>0</v>
      </c>
      <c r="J65" s="276">
        <f t="shared" si="64"/>
        <v>0</v>
      </c>
      <c r="K65" s="276">
        <f t="shared" si="64"/>
        <v>0</v>
      </c>
      <c r="M65" s="276">
        <f t="shared" ref="M65:R65" si="65">M24-SUM(M25:M28)-M29</f>
        <v>0</v>
      </c>
      <c r="N65" s="276">
        <f t="shared" si="65"/>
        <v>0</v>
      </c>
      <c r="O65" s="276">
        <f t="shared" si="65"/>
        <v>0</v>
      </c>
      <c r="P65" s="276">
        <f t="shared" si="65"/>
        <v>0</v>
      </c>
      <c r="Q65" s="276">
        <f t="shared" si="65"/>
        <v>0</v>
      </c>
      <c r="R65" s="276">
        <f t="shared" si="65"/>
        <v>0</v>
      </c>
      <c r="S65" s="276">
        <f>S24-SUM(S25:S28)-S29</f>
        <v>0</v>
      </c>
      <c r="U65" s="276">
        <f t="shared" ref="U65:Z65" si="66">U24-SUM(U25:U28)-U29</f>
        <v>0</v>
      </c>
      <c r="V65" s="276">
        <f t="shared" si="66"/>
        <v>0</v>
      </c>
      <c r="W65" s="276">
        <f t="shared" si="66"/>
        <v>0</v>
      </c>
      <c r="X65" s="276">
        <f t="shared" si="66"/>
        <v>0</v>
      </c>
      <c r="Y65" s="276">
        <f t="shared" si="66"/>
        <v>0</v>
      </c>
      <c r="Z65" s="276">
        <f t="shared" si="66"/>
        <v>0</v>
      </c>
      <c r="AA65" s="276">
        <f>AA24-SUM(AA25:AA28)-AA29</f>
        <v>0</v>
      </c>
      <c r="AC65" s="276">
        <f t="shared" ref="AC65:AH65" si="67">AC24-SUM(AC25:AC28)-AC29</f>
        <v>0</v>
      </c>
      <c r="AD65" s="276">
        <f t="shared" si="67"/>
        <v>0</v>
      </c>
      <c r="AE65" s="276">
        <f t="shared" si="67"/>
        <v>0</v>
      </c>
      <c r="AF65" s="276">
        <f t="shared" si="67"/>
        <v>0</v>
      </c>
      <c r="AG65" s="276">
        <f t="shared" si="67"/>
        <v>0</v>
      </c>
      <c r="AH65" s="276">
        <f t="shared" si="67"/>
        <v>0</v>
      </c>
      <c r="AI65" s="276">
        <f>AI24-SUM(AI25:AI28)-AI29</f>
        <v>0</v>
      </c>
    </row>
    <row r="66" spans="1:35" hidden="1" outlineLevel="1" x14ac:dyDescent="0.25">
      <c r="B66" s="277" t="s">
        <v>57</v>
      </c>
      <c r="E66" s="276">
        <f t="shared" ref="E66:K66" si="68">SUM(E29:E35)-E36</f>
        <v>0</v>
      </c>
      <c r="F66" s="276">
        <f t="shared" si="68"/>
        <v>0</v>
      </c>
      <c r="G66" s="276">
        <f t="shared" si="68"/>
        <v>0</v>
      </c>
      <c r="H66" s="276">
        <f t="shared" si="68"/>
        <v>0</v>
      </c>
      <c r="I66" s="276">
        <f t="shared" si="68"/>
        <v>0</v>
      </c>
      <c r="J66" s="276">
        <f t="shared" si="68"/>
        <v>0</v>
      </c>
      <c r="K66" s="276">
        <f t="shared" si="68"/>
        <v>0</v>
      </c>
      <c r="M66" s="276">
        <f t="shared" ref="M66:S66" si="69">SUM(M29:M35)-M36</f>
        <v>0</v>
      </c>
      <c r="N66" s="276">
        <f t="shared" si="69"/>
        <v>0</v>
      </c>
      <c r="O66" s="276">
        <f t="shared" si="69"/>
        <v>0</v>
      </c>
      <c r="P66" s="276">
        <f t="shared" si="69"/>
        <v>0</v>
      </c>
      <c r="Q66" s="276">
        <f t="shared" si="69"/>
        <v>0</v>
      </c>
      <c r="R66" s="276">
        <f t="shared" si="69"/>
        <v>0</v>
      </c>
      <c r="S66" s="276">
        <f t="shared" si="69"/>
        <v>0</v>
      </c>
      <c r="U66" s="276">
        <f t="shared" ref="U66:Z66" si="70">SUM(U29:U35)-U36</f>
        <v>0</v>
      </c>
      <c r="V66" s="276">
        <f t="shared" si="70"/>
        <v>0</v>
      </c>
      <c r="W66" s="276">
        <f t="shared" si="70"/>
        <v>0</v>
      </c>
      <c r="X66" s="276">
        <f t="shared" si="70"/>
        <v>0</v>
      </c>
      <c r="Y66" s="276">
        <f t="shared" si="70"/>
        <v>0</v>
      </c>
      <c r="Z66" s="276">
        <f t="shared" si="70"/>
        <v>0</v>
      </c>
      <c r="AA66" s="276">
        <f>SUM(AA29:AA35)-AA36</f>
        <v>0</v>
      </c>
      <c r="AC66" s="276">
        <f t="shared" ref="AC66:AI66" si="71">SUM(AC29:AC35)-AC36</f>
        <v>0</v>
      </c>
      <c r="AD66" s="276">
        <f t="shared" si="71"/>
        <v>0</v>
      </c>
      <c r="AE66" s="276">
        <f t="shared" si="71"/>
        <v>0</v>
      </c>
      <c r="AF66" s="276">
        <f t="shared" si="71"/>
        <v>0</v>
      </c>
      <c r="AG66" s="276">
        <f t="shared" si="71"/>
        <v>0</v>
      </c>
      <c r="AH66" s="276">
        <f t="shared" si="71"/>
        <v>0</v>
      </c>
      <c r="AI66" s="276">
        <f t="shared" si="71"/>
        <v>0</v>
      </c>
    </row>
    <row r="67" spans="1:35" hidden="1" outlineLevel="1" x14ac:dyDescent="0.25">
      <c r="B67" s="277" t="s">
        <v>147</v>
      </c>
      <c r="E67" s="276">
        <f t="shared" ref="E67:K67" si="72">SUM(E36:E43)-E44</f>
        <v>0</v>
      </c>
      <c r="F67" s="276">
        <f t="shared" si="72"/>
        <v>0</v>
      </c>
      <c r="G67" s="276">
        <f t="shared" si="72"/>
        <v>0</v>
      </c>
      <c r="H67" s="276">
        <f t="shared" si="72"/>
        <v>0</v>
      </c>
      <c r="I67" s="276">
        <f t="shared" si="72"/>
        <v>0</v>
      </c>
      <c r="J67" s="276">
        <f t="shared" si="72"/>
        <v>0</v>
      </c>
      <c r="K67" s="276">
        <f t="shared" si="72"/>
        <v>0</v>
      </c>
      <c r="M67" s="276">
        <f t="shared" ref="M67:S67" si="73">SUM(M36:M43)-M44</f>
        <v>0</v>
      </c>
      <c r="N67" s="276">
        <f t="shared" si="73"/>
        <v>0</v>
      </c>
      <c r="O67" s="276">
        <f t="shared" si="73"/>
        <v>0</v>
      </c>
      <c r="P67" s="276">
        <f t="shared" si="73"/>
        <v>0</v>
      </c>
      <c r="Q67" s="276">
        <f t="shared" si="73"/>
        <v>0</v>
      </c>
      <c r="R67" s="276">
        <f t="shared" si="73"/>
        <v>0</v>
      </c>
      <c r="S67" s="276">
        <f t="shared" si="73"/>
        <v>0</v>
      </c>
      <c r="U67" s="276">
        <f t="shared" ref="U67:Z67" si="74">SUM(U36:U43)-U44</f>
        <v>0</v>
      </c>
      <c r="V67" s="276">
        <f>SUM(V36:V43)-V44</f>
        <v>0</v>
      </c>
      <c r="W67" s="276">
        <f t="shared" si="74"/>
        <v>0</v>
      </c>
      <c r="X67" s="276">
        <f t="shared" si="74"/>
        <v>0</v>
      </c>
      <c r="Y67" s="276">
        <f t="shared" si="74"/>
        <v>0</v>
      </c>
      <c r="Z67" s="276">
        <f t="shared" si="74"/>
        <v>0</v>
      </c>
      <c r="AA67" s="276">
        <f>SUM(AA36:AA43)-AA44</f>
        <v>0</v>
      </c>
      <c r="AC67" s="276">
        <f>SUM(AC36:AC43)-AC44</f>
        <v>0</v>
      </c>
      <c r="AD67" s="276">
        <f t="shared" ref="AD67:AH67" si="75">SUM(AD36:AD43)-AD44</f>
        <v>0</v>
      </c>
      <c r="AE67" s="276">
        <f t="shared" si="75"/>
        <v>0</v>
      </c>
      <c r="AF67" s="276">
        <f t="shared" si="75"/>
        <v>0</v>
      </c>
      <c r="AG67" s="276">
        <f t="shared" si="75"/>
        <v>0</v>
      </c>
      <c r="AH67" s="276">
        <f t="shared" si="75"/>
        <v>0</v>
      </c>
      <c r="AI67" s="276">
        <f>SUM(AI36:AI43)-AI44</f>
        <v>0</v>
      </c>
    </row>
    <row r="68" spans="1:35" hidden="1" outlineLevel="1" x14ac:dyDescent="0.25">
      <c r="B68" s="277" t="s">
        <v>39</v>
      </c>
      <c r="E68" s="276">
        <f t="shared" ref="E68:K68" si="76">SUM(E49:E50)-E51</f>
        <v>0</v>
      </c>
      <c r="F68" s="276">
        <f t="shared" si="76"/>
        <v>0</v>
      </c>
      <c r="G68" s="276">
        <f t="shared" si="76"/>
        <v>0</v>
      </c>
      <c r="H68" s="276">
        <f t="shared" si="76"/>
        <v>0</v>
      </c>
      <c r="I68" s="276">
        <f t="shared" si="76"/>
        <v>0</v>
      </c>
      <c r="J68" s="276">
        <f t="shared" si="76"/>
        <v>0</v>
      </c>
      <c r="K68" s="276">
        <f t="shared" si="76"/>
        <v>0</v>
      </c>
      <c r="M68" s="276">
        <f t="shared" ref="M68:S68" si="77">SUM(M49:M50)-M51</f>
        <v>0</v>
      </c>
      <c r="N68" s="276">
        <f t="shared" si="77"/>
        <v>0</v>
      </c>
      <c r="O68" s="276">
        <f t="shared" si="77"/>
        <v>0</v>
      </c>
      <c r="P68" s="276">
        <f t="shared" si="77"/>
        <v>0</v>
      </c>
      <c r="Q68" s="276">
        <f t="shared" si="77"/>
        <v>0</v>
      </c>
      <c r="R68" s="276">
        <f t="shared" si="77"/>
        <v>0</v>
      </c>
      <c r="S68" s="276">
        <f t="shared" si="77"/>
        <v>0</v>
      </c>
      <c r="U68" s="276">
        <f t="shared" ref="U68:AA68" si="78">SUM(U49:U50)-U51</f>
        <v>0</v>
      </c>
      <c r="V68" s="276">
        <f t="shared" si="78"/>
        <v>0</v>
      </c>
      <c r="W68" s="276">
        <f t="shared" si="78"/>
        <v>0</v>
      </c>
      <c r="X68" s="276">
        <f t="shared" si="78"/>
        <v>0</v>
      </c>
      <c r="Y68" s="276">
        <f t="shared" si="78"/>
        <v>0</v>
      </c>
      <c r="Z68" s="276">
        <f t="shared" si="78"/>
        <v>0</v>
      </c>
      <c r="AA68" s="276">
        <f t="shared" si="78"/>
        <v>0</v>
      </c>
      <c r="AC68" s="276">
        <f t="shared" ref="AC68:AI68" si="79">SUM(AC49:AC50)-AC51</f>
        <v>0</v>
      </c>
      <c r="AD68" s="276">
        <f t="shared" si="79"/>
        <v>0</v>
      </c>
      <c r="AE68" s="276">
        <f t="shared" si="79"/>
        <v>0</v>
      </c>
      <c r="AF68" s="276">
        <f t="shared" si="79"/>
        <v>0</v>
      </c>
      <c r="AG68" s="276">
        <f t="shared" si="79"/>
        <v>0</v>
      </c>
      <c r="AH68" s="276">
        <f t="shared" si="79"/>
        <v>0</v>
      </c>
      <c r="AI68" s="276">
        <f t="shared" si="79"/>
        <v>0</v>
      </c>
    </row>
    <row r="69" spans="1:35" hidden="1" outlineLevel="1" x14ac:dyDescent="0.25">
      <c r="B69" s="277" t="s">
        <v>40</v>
      </c>
      <c r="E69" s="276">
        <f>E47-E51-E53</f>
        <v>0</v>
      </c>
      <c r="F69" s="276">
        <f t="shared" ref="F69:K69" si="80">F47-F51-F53</f>
        <v>0</v>
      </c>
      <c r="G69" s="276">
        <f t="shared" si="80"/>
        <v>0</v>
      </c>
      <c r="H69" s="276">
        <f t="shared" si="80"/>
        <v>0</v>
      </c>
      <c r="I69" s="276">
        <f t="shared" si="80"/>
        <v>0</v>
      </c>
      <c r="J69" s="276">
        <f t="shared" si="80"/>
        <v>0</v>
      </c>
      <c r="K69" s="276">
        <f t="shared" si="80"/>
        <v>0</v>
      </c>
      <c r="M69" s="276">
        <f>M47-M51-M53</f>
        <v>-302386.56699999998</v>
      </c>
      <c r="N69" s="276">
        <f t="shared" ref="N69:S69" si="81">N47-N51-N53</f>
        <v>0</v>
      </c>
      <c r="O69" s="276">
        <f t="shared" si="81"/>
        <v>-338228</v>
      </c>
      <c r="P69" s="276">
        <f t="shared" si="81"/>
        <v>0</v>
      </c>
      <c r="Q69" s="276">
        <f t="shared" si="81"/>
        <v>-377139</v>
      </c>
      <c r="R69" s="276">
        <f t="shared" si="81"/>
        <v>0</v>
      </c>
      <c r="S69" s="276">
        <f t="shared" si="81"/>
        <v>-414317.20699999994</v>
      </c>
      <c r="U69" s="276">
        <f t="shared" ref="U69:Z69" si="82">U47-U51-U53</f>
        <v>-190568</v>
      </c>
      <c r="V69" s="276">
        <f t="shared" si="82"/>
        <v>0</v>
      </c>
      <c r="W69" s="276">
        <f t="shared" si="82"/>
        <v>-209665</v>
      </c>
      <c r="X69" s="276">
        <f t="shared" si="82"/>
        <v>0</v>
      </c>
      <c r="Y69" s="276">
        <f t="shared" si="82"/>
        <v>-239469.99999999997</v>
      </c>
      <c r="Z69" s="276">
        <f t="shared" si="82"/>
        <v>0</v>
      </c>
      <c r="AA69" s="276">
        <f>AA47-AA51-AA53</f>
        <v>-265866</v>
      </c>
      <c r="AC69" s="276">
        <f>AC47-AC51-AC53</f>
        <v>-126617</v>
      </c>
      <c r="AD69" s="276">
        <f t="shared" ref="AD69:AI69" si="83">AD47-AD51-AD53</f>
        <v>0</v>
      </c>
      <c r="AE69" s="276">
        <f t="shared" si="83"/>
        <v>-137348</v>
      </c>
      <c r="AF69" s="276">
        <f t="shared" si="83"/>
        <v>0</v>
      </c>
      <c r="AG69" s="276">
        <f t="shared" si="83"/>
        <v>-149315</v>
      </c>
      <c r="AH69" s="276">
        <f t="shared" si="83"/>
        <v>0</v>
      </c>
      <c r="AI69" s="276">
        <f t="shared" si="83"/>
        <v>-173682</v>
      </c>
    </row>
    <row r="70" spans="1:35" collapsed="1" x14ac:dyDescent="0.25">
      <c r="A70" s="310" t="s">
        <v>225</v>
      </c>
    </row>
    <row r="71" spans="1:35" x14ac:dyDescent="0.25">
      <c r="A71" s="310" t="s">
        <v>226</v>
      </c>
    </row>
    <row r="72" spans="1:35" x14ac:dyDescent="0.25">
      <c r="A72" s="310" t="s">
        <v>227</v>
      </c>
    </row>
    <row r="73" spans="1:35" x14ac:dyDescent="0.25">
      <c r="A73" s="310" t="s">
        <v>228</v>
      </c>
    </row>
  </sheetData>
  <mergeCells count="4">
    <mergeCell ref="AC14:AI14"/>
    <mergeCell ref="U14:AA14"/>
    <mergeCell ref="M14:S14"/>
    <mergeCell ref="E14:K14"/>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DS74"/>
  <sheetViews>
    <sheetView topLeftCell="B1" workbookViewId="0">
      <selection activeCell="B1" sqref="B1"/>
    </sheetView>
  </sheetViews>
  <sheetFormatPr defaultColWidth="9.140625" defaultRowHeight="15" outlineLevelRow="1" outlineLevelCol="1" x14ac:dyDescent="0.25"/>
  <cols>
    <col min="1" max="1" width="0" style="4" hidden="1" customWidth="1" outlineLevel="1"/>
    <col min="2" max="2" width="40.140625" style="4" customWidth="1" collapsed="1"/>
    <col min="3" max="4" width="9" style="4" customWidth="1"/>
    <col min="5" max="5" width="9.28515625" style="4" bestFit="1" customWidth="1"/>
    <col min="6" max="6" width="8.5703125" style="4" customWidth="1" outlineLevel="1"/>
    <col min="7" max="7" width="8.85546875" style="4" customWidth="1" outlineLevel="1"/>
    <col min="8" max="8" width="8.5703125" style="4" customWidth="1" outlineLevel="1"/>
    <col min="9" max="9" width="8.85546875" style="4" customWidth="1" outlineLevel="1"/>
    <col min="10" max="10" width="8.5703125" style="4" hidden="1" customWidth="1" outlineLevel="1"/>
    <col min="11" max="11" width="8.85546875" style="4" hidden="1" customWidth="1" outlineLevel="1"/>
    <col min="12" max="12" width="1.7109375" style="4" customWidth="1"/>
    <col min="13" max="13" width="9.28515625" style="4" bestFit="1" customWidth="1"/>
    <col min="14" max="14" width="8.5703125" style="4" customWidth="1"/>
    <col min="15" max="15" width="8.85546875" style="4" bestFit="1" customWidth="1"/>
    <col min="16" max="16" width="8.5703125" style="4" customWidth="1"/>
    <col min="17" max="17" width="8.85546875" style="4" bestFit="1" customWidth="1"/>
    <col min="18" max="18" width="8.5703125" style="4" customWidth="1"/>
    <col min="19" max="19" width="8.85546875" style="4" bestFit="1" customWidth="1"/>
    <col min="20" max="20" width="1.7109375" style="4" customWidth="1"/>
    <col min="21" max="26" width="9.7109375" style="4" customWidth="1"/>
    <col min="27" max="27" width="9.28515625" style="4" bestFit="1" customWidth="1"/>
    <col min="28" max="28" width="3" style="4" customWidth="1"/>
    <col min="29" max="35" width="8.7109375" style="4" customWidth="1"/>
    <col min="36" max="36" width="3" style="4" customWidth="1"/>
    <col min="37" max="43" width="9.140625" style="435" customWidth="1"/>
    <col min="44" max="44" width="3.42578125" style="4" customWidth="1"/>
    <col min="45" max="45" width="9" style="4" bestFit="1" customWidth="1"/>
    <col min="46" max="51" width="9" style="4" customWidth="1"/>
    <col min="52" max="52" width="3.140625" style="4" customWidth="1"/>
    <col min="53" max="53" width="9" style="4" bestFit="1" customWidth="1"/>
    <col min="54" max="59" width="8.5703125" style="4" customWidth="1"/>
    <col min="60" max="60" width="3.42578125" style="4" customWidth="1"/>
    <col min="61" max="67" width="8.5703125" style="4" customWidth="1"/>
    <col min="68" max="68" width="3.28515625" style="4" customWidth="1"/>
    <col min="69" max="69" width="8.5703125" style="4" customWidth="1"/>
    <col min="70" max="70" width="9" style="4" customWidth="1"/>
    <col min="71" max="71" width="9" style="4" hidden="1" customWidth="1" outlineLevel="1"/>
    <col min="72" max="72" width="9" style="4" customWidth="1" collapsed="1"/>
    <col min="73" max="73" width="9" style="4" hidden="1" customWidth="1" outlineLevel="1"/>
    <col min="74" max="74" width="9" style="4" customWidth="1" collapsed="1"/>
    <col min="75" max="75" width="9" style="4" customWidth="1"/>
    <col min="76" max="76" width="2.5703125" style="4" customWidth="1"/>
    <col min="77" max="77" width="9" style="4" customWidth="1"/>
    <col min="78" max="78" width="10.5703125" style="4" customWidth="1"/>
    <col min="79" max="79" width="8" style="4" hidden="1" customWidth="1" outlineLevel="1"/>
    <col min="80" max="80" width="11.5703125" style="4" customWidth="1" collapsed="1"/>
    <col min="81" max="81" width="11.5703125" style="4" hidden="1" customWidth="1" outlineLevel="1"/>
    <col min="82" max="82" width="12.28515625" style="4" customWidth="1" collapsed="1"/>
    <col min="83" max="83" width="11.5703125" style="4" customWidth="1"/>
    <col min="84" max="84" width="3" style="4" customWidth="1"/>
    <col min="85" max="86" width="9" style="67" customWidth="1"/>
    <col min="87" max="87" width="8" style="4" hidden="1" customWidth="1" outlineLevel="1"/>
    <col min="88" max="88" width="9" style="4" customWidth="1" collapsed="1"/>
    <col min="89" max="89" width="9" style="4" hidden="1" customWidth="1" outlineLevel="1"/>
    <col min="90" max="90" width="9" style="4" customWidth="1" collapsed="1"/>
    <col min="91" max="91" width="9" style="4" customWidth="1"/>
    <col min="92" max="92" width="3" style="4" customWidth="1"/>
    <col min="93" max="94" width="9" style="67" customWidth="1"/>
    <col min="95" max="95" width="8" style="4" hidden="1" customWidth="1" outlineLevel="1"/>
    <col min="96" max="96" width="9" style="4" customWidth="1" collapsed="1"/>
    <col min="97" max="97" width="9" style="4" hidden="1" customWidth="1" outlineLevel="1"/>
    <col min="98" max="98" width="9" style="4" customWidth="1" collapsed="1"/>
    <col min="99" max="99" width="9" style="4" customWidth="1"/>
    <col min="100" max="100" width="3" style="4" customWidth="1"/>
    <col min="101" max="102" width="9" style="4" customWidth="1"/>
    <col min="103" max="103" width="8" style="4" hidden="1" customWidth="1" outlineLevel="1"/>
    <col min="104" max="104" width="9" style="4" customWidth="1" collapsed="1"/>
    <col min="105" max="105" width="9" style="4" hidden="1" customWidth="1" outlineLevel="1"/>
    <col min="106" max="106" width="9" style="4" customWidth="1" collapsed="1"/>
    <col min="107" max="107" width="9" style="4" customWidth="1"/>
    <col min="108" max="108" width="3" style="4" customWidth="1"/>
    <col min="109" max="110" width="9" style="4" customWidth="1"/>
    <col min="111" max="111" width="8" style="4" hidden="1" customWidth="1" outlineLevel="1"/>
    <col min="112" max="112" width="9" style="4" customWidth="1" collapsed="1"/>
    <col min="113" max="113" width="8" style="4" hidden="1" customWidth="1" outlineLevel="1"/>
    <col min="114" max="114" width="9" style="4" customWidth="1" collapsed="1"/>
    <col min="115" max="115" width="8" style="4" customWidth="1"/>
    <col min="116" max="116" width="3" style="4" customWidth="1"/>
    <col min="117" max="118" width="9" style="4" customWidth="1"/>
    <col min="119" max="119" width="8" style="4" hidden="1" customWidth="1" outlineLevel="1"/>
    <col min="120" max="120" width="9" style="4" customWidth="1" collapsed="1"/>
    <col min="121" max="121" width="8" style="4" hidden="1" customWidth="1" outlineLevel="1"/>
    <col min="122" max="122" width="8" style="4" customWidth="1" collapsed="1"/>
    <col min="123" max="123" width="8" style="4" customWidth="1"/>
    <col min="124" max="16384" width="9.140625" style="4"/>
  </cols>
  <sheetData>
    <row r="1" spans="2:123" x14ac:dyDescent="0.25">
      <c r="B1" s="8" t="s">
        <v>77</v>
      </c>
      <c r="C1" s="619">
        <v>85.2</v>
      </c>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432"/>
      <c r="AL1" s="432"/>
      <c r="AM1" s="432"/>
      <c r="AN1" s="432"/>
      <c r="AO1" s="432"/>
      <c r="AP1" s="432"/>
      <c r="AQ1" s="432"/>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1"/>
      <c r="BY1" s="247"/>
      <c r="BZ1" s="1"/>
      <c r="CA1" s="1"/>
      <c r="CB1" s="1"/>
      <c r="CC1" s="1"/>
      <c r="CD1" s="1"/>
      <c r="CE1" s="1"/>
      <c r="CF1" s="1"/>
      <c r="CG1" s="2"/>
      <c r="CH1" s="2"/>
      <c r="CI1" s="1"/>
      <c r="CJ1" s="1"/>
      <c r="CK1" s="1"/>
      <c r="CL1" s="1"/>
      <c r="CM1" s="1"/>
      <c r="CN1" s="1"/>
      <c r="CO1" s="2"/>
      <c r="CP1" s="2"/>
      <c r="CQ1" s="1"/>
      <c r="CR1" s="1"/>
      <c r="CS1" s="1"/>
      <c r="CT1" s="1"/>
      <c r="CU1" s="1"/>
      <c r="CV1" s="1"/>
      <c r="CW1" s="1"/>
      <c r="CX1" s="1"/>
      <c r="CY1" s="1"/>
      <c r="CZ1" s="1"/>
      <c r="DA1" s="1"/>
      <c r="DB1" s="1"/>
      <c r="DC1" s="1"/>
      <c r="DD1" s="1"/>
      <c r="DE1" s="1"/>
      <c r="DF1" s="1"/>
      <c r="DG1" s="1"/>
      <c r="DH1" s="1"/>
      <c r="DI1" s="1"/>
      <c r="DJ1" s="1"/>
      <c r="DK1" s="1"/>
      <c r="DL1" s="6"/>
      <c r="DM1" s="1"/>
      <c r="DN1" s="1"/>
      <c r="DO1" s="1"/>
      <c r="DP1" s="1"/>
      <c r="DQ1" s="1"/>
      <c r="DR1" s="1"/>
      <c r="DS1" s="3"/>
    </row>
    <row r="2" spans="2:123" x14ac:dyDescent="0.25">
      <c r="B2" s="5" t="s">
        <v>42</v>
      </c>
      <c r="C2" s="206">
        <v>38.6</v>
      </c>
      <c r="D2" s="436"/>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433"/>
      <c r="AL2" s="433"/>
      <c r="AM2" s="433"/>
      <c r="AN2" s="433"/>
      <c r="AO2" s="433"/>
      <c r="AP2" s="433"/>
      <c r="AQ2" s="433"/>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6"/>
      <c r="BY2" s="218"/>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7"/>
    </row>
    <row r="3" spans="2:123" ht="15" customHeight="1" x14ac:dyDescent="0.25">
      <c r="B3" s="42" t="s">
        <v>43</v>
      </c>
      <c r="C3" s="206">
        <v>7.4</v>
      </c>
      <c r="D3" s="436"/>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433"/>
      <c r="AL3" s="433"/>
      <c r="AM3" s="433"/>
      <c r="AN3" s="433"/>
      <c r="AO3" s="433"/>
      <c r="AP3" s="433"/>
      <c r="AQ3" s="433"/>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6"/>
      <c r="BY3" s="218"/>
      <c r="BZ3" s="9"/>
      <c r="CA3" s="10"/>
      <c r="CB3" s="89"/>
      <c r="CC3" s="75"/>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7"/>
    </row>
    <row r="4" spans="2:123" s="14" customFormat="1" ht="15" customHeight="1" x14ac:dyDescent="0.25">
      <c r="B4" s="5" t="s">
        <v>44</v>
      </c>
      <c r="C4" s="206">
        <f>C1-C2-C3</f>
        <v>39.200000000000003</v>
      </c>
      <c r="D4" s="436"/>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433"/>
      <c r="AL4" s="433"/>
      <c r="AM4" s="433"/>
      <c r="AN4" s="433"/>
      <c r="AO4" s="433"/>
      <c r="AP4" s="433"/>
      <c r="AQ4" s="433"/>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12"/>
      <c r="BY4" s="218"/>
      <c r="BZ4" s="11"/>
      <c r="CA4" s="10"/>
      <c r="CB4" s="6"/>
      <c r="CC4" s="90"/>
      <c r="CD4" s="10"/>
      <c r="CE4" s="10"/>
      <c r="CF4" s="12"/>
      <c r="CG4" s="10"/>
      <c r="CH4" s="10"/>
      <c r="CI4" s="10"/>
      <c r="CJ4" s="10"/>
      <c r="CK4" s="10"/>
      <c r="CL4" s="10"/>
      <c r="CM4" s="10"/>
      <c r="CN4" s="12"/>
      <c r="CO4" s="10"/>
      <c r="CP4" s="10"/>
      <c r="CQ4" s="10"/>
      <c r="CR4" s="10"/>
      <c r="CS4" s="10"/>
      <c r="CT4" s="10"/>
      <c r="CU4" s="10"/>
      <c r="CV4" s="12"/>
      <c r="CW4" s="10"/>
      <c r="CX4" s="10"/>
      <c r="CY4" s="10"/>
      <c r="CZ4" s="10"/>
      <c r="DA4" s="10"/>
      <c r="DB4" s="10"/>
      <c r="DC4" s="10"/>
      <c r="DD4" s="12"/>
      <c r="DE4" s="10"/>
      <c r="DF4" s="10"/>
      <c r="DG4" s="10"/>
      <c r="DH4" s="10"/>
      <c r="DI4" s="12"/>
      <c r="DJ4" s="10"/>
      <c r="DK4" s="10"/>
      <c r="DL4" s="12"/>
      <c r="DM4" s="10"/>
      <c r="DN4" s="10"/>
      <c r="DO4" s="10"/>
      <c r="DP4" s="10"/>
      <c r="DQ4" s="12"/>
      <c r="DR4" s="10"/>
      <c r="DS4" s="13"/>
    </row>
    <row r="5" spans="2:123" s="14" customFormat="1" ht="15" customHeight="1" x14ac:dyDescent="0.25">
      <c r="B5" s="5"/>
      <c r="C5" s="206"/>
      <c r="D5" s="436"/>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433"/>
      <c r="AL5" s="433"/>
      <c r="AM5" s="433"/>
      <c r="AN5" s="433"/>
      <c r="AO5" s="433"/>
      <c r="AP5" s="433"/>
      <c r="AQ5" s="433"/>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12"/>
      <c r="BY5" s="218"/>
      <c r="BZ5" s="11"/>
      <c r="CA5" s="10"/>
      <c r="CB5" s="6"/>
      <c r="CC5" s="90"/>
      <c r="CD5" s="10"/>
      <c r="CE5" s="10"/>
      <c r="CF5" s="12"/>
      <c r="CG5" s="10"/>
      <c r="CH5" s="10"/>
      <c r="CI5" s="10"/>
      <c r="CJ5" s="10"/>
      <c r="CK5" s="10"/>
      <c r="CL5"/>
      <c r="CM5" s="10"/>
      <c r="CN5" s="12"/>
      <c r="CO5" s="10"/>
      <c r="CP5" s="10"/>
      <c r="CQ5" s="10"/>
      <c r="CR5" s="10"/>
      <c r="CS5" s="10"/>
      <c r="CT5" s="10"/>
      <c r="CU5" s="10"/>
      <c r="CV5" s="12"/>
      <c r="CW5" s="10"/>
      <c r="CX5" s="10"/>
      <c r="CY5" s="10"/>
      <c r="CZ5" s="10"/>
      <c r="DA5" s="10"/>
      <c r="DB5" s="10"/>
      <c r="DC5" s="10"/>
      <c r="DD5" s="12"/>
      <c r="DE5" s="10"/>
      <c r="DF5" s="10"/>
      <c r="DG5" s="10"/>
      <c r="DH5" s="10"/>
      <c r="DI5" s="12"/>
      <c r="DJ5" s="10"/>
      <c r="DK5" s="10"/>
      <c r="DL5" s="12"/>
      <c r="DM5" s="10"/>
      <c r="DN5" s="10"/>
      <c r="DO5" s="10"/>
      <c r="DP5" s="10"/>
      <c r="DQ5" s="12"/>
      <c r="DR5" s="10"/>
      <c r="DS5" s="13"/>
    </row>
    <row r="6" spans="2:123" s="14" customFormat="1" x14ac:dyDescent="0.25">
      <c r="B6" s="5" t="s">
        <v>78</v>
      </c>
      <c r="C6" s="206">
        <v>17.5</v>
      </c>
      <c r="D6" s="436"/>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433"/>
      <c r="AL6" s="433"/>
      <c r="AM6" s="433"/>
      <c r="AN6" s="433"/>
      <c r="AO6" s="433"/>
      <c r="AP6" s="433"/>
      <c r="AQ6" s="433"/>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c r="BX6" s="12"/>
      <c r="BY6" s="218"/>
      <c r="BZ6" s="11"/>
      <c r="CA6" s="10"/>
      <c r="CB6" s="10"/>
      <c r="CC6" s="10"/>
      <c r="CD6" s="10"/>
      <c r="CE6" s="10"/>
      <c r="CF6" s="12"/>
      <c r="CG6" s="10"/>
      <c r="CH6" s="10"/>
      <c r="CI6" s="10"/>
      <c r="CJ6" s="10"/>
      <c r="CK6" s="10"/>
      <c r="CL6" s="10"/>
      <c r="CM6" s="10"/>
      <c r="CN6" s="12"/>
      <c r="CO6" s="10"/>
      <c r="CP6" s="10"/>
      <c r="CQ6" s="10"/>
      <c r="CR6" s="10"/>
      <c r="CS6" s="10"/>
      <c r="CT6" s="10"/>
      <c r="CU6" s="10"/>
      <c r="CV6" s="12"/>
      <c r="CW6" s="10"/>
      <c r="CX6" s="10"/>
      <c r="CY6" s="10"/>
      <c r="CZ6" s="10"/>
      <c r="DA6" s="10"/>
      <c r="DB6" s="10"/>
      <c r="DC6" s="10"/>
      <c r="DD6" s="12"/>
      <c r="DE6" s="10"/>
      <c r="DF6" s="10"/>
      <c r="DG6" s="10"/>
      <c r="DH6" s="10"/>
      <c r="DI6" s="12"/>
      <c r="DJ6" s="10"/>
      <c r="DK6" s="10"/>
      <c r="DL6" s="12"/>
      <c r="DM6" s="10"/>
      <c r="DN6" s="10"/>
      <c r="DO6" s="10"/>
      <c r="DP6" s="10"/>
      <c r="DQ6" s="12"/>
      <c r="DR6" s="10"/>
      <c r="DS6" s="13"/>
    </row>
    <row r="7" spans="2:123" s="14" customFormat="1" x14ac:dyDescent="0.25">
      <c r="B7" s="5" t="s">
        <v>79</v>
      </c>
      <c r="C7" s="206">
        <v>65.599999999999994</v>
      </c>
      <c r="D7" s="436"/>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433"/>
      <c r="AL7" s="433"/>
      <c r="AM7" s="433"/>
      <c r="AN7" s="433"/>
      <c r="AO7" s="433"/>
      <c r="AP7" s="433"/>
      <c r="AQ7" s="433"/>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12"/>
      <c r="BY7" s="218"/>
      <c r="BZ7" s="11"/>
      <c r="CA7" s="10"/>
      <c r="CB7" s="10"/>
      <c r="CC7" s="10"/>
      <c r="CD7" s="10"/>
      <c r="CE7" s="10"/>
      <c r="CF7" s="12"/>
      <c r="CG7" s="10"/>
      <c r="CH7" s="10"/>
      <c r="CI7" s="10"/>
      <c r="CJ7" s="10"/>
      <c r="CK7" s="10"/>
      <c r="CL7" s="10"/>
      <c r="CM7" s="10"/>
      <c r="CN7" s="12"/>
      <c r="CO7" s="10"/>
      <c r="CP7" s="10"/>
      <c r="CQ7" s="10"/>
      <c r="CR7" s="10"/>
      <c r="CS7" s="10"/>
      <c r="CT7" s="10"/>
      <c r="CU7" s="10"/>
      <c r="CV7" s="12"/>
      <c r="CW7" s="10"/>
      <c r="CX7" s="10"/>
      <c r="CY7" s="10"/>
      <c r="CZ7" s="10"/>
      <c r="DA7" s="10"/>
      <c r="DB7" s="10"/>
      <c r="DC7" s="10"/>
      <c r="DD7" s="12"/>
      <c r="DE7" s="10"/>
      <c r="DF7" s="10"/>
      <c r="DG7" s="10"/>
      <c r="DH7" s="10"/>
      <c r="DI7" s="12"/>
      <c r="DJ7" s="10"/>
      <c r="DK7" s="10"/>
      <c r="DL7" s="12"/>
      <c r="DM7" s="10"/>
      <c r="DN7" s="10"/>
      <c r="DO7" s="10"/>
      <c r="DP7" s="10"/>
      <c r="DQ7" s="12"/>
      <c r="DR7" s="10"/>
      <c r="DS7" s="13"/>
    </row>
    <row r="8" spans="2:123" s="14" customFormat="1" x14ac:dyDescent="0.25">
      <c r="B8" s="5" t="s">
        <v>178</v>
      </c>
      <c r="C8" s="206">
        <v>15.4</v>
      </c>
      <c r="D8" s="436"/>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433"/>
      <c r="AL8" s="433"/>
      <c r="AM8" s="433"/>
      <c r="AN8" s="433"/>
      <c r="AO8" s="433"/>
      <c r="AP8" s="433"/>
      <c r="AQ8" s="433"/>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12"/>
      <c r="BY8" s="218"/>
      <c r="BZ8" s="11"/>
      <c r="CA8" s="10"/>
      <c r="CB8" s="10"/>
      <c r="CC8" s="10"/>
      <c r="CD8" s="10"/>
      <c r="CE8" s="10"/>
      <c r="CF8" s="12"/>
      <c r="CG8" s="10"/>
      <c r="CH8" s="10"/>
      <c r="CI8" s="10"/>
      <c r="CJ8" s="10"/>
      <c r="CK8" s="10"/>
      <c r="CL8" s="10"/>
      <c r="CM8" s="10"/>
      <c r="CN8" s="12"/>
      <c r="CO8" s="10"/>
      <c r="CP8" s="10"/>
      <c r="CQ8" s="10"/>
      <c r="CR8" s="10"/>
      <c r="CS8" s="10"/>
      <c r="CT8" s="10"/>
      <c r="CU8" s="10"/>
      <c r="CV8" s="12"/>
      <c r="CW8" s="10"/>
      <c r="CX8" s="10"/>
      <c r="CY8" s="10"/>
      <c r="CZ8" s="10"/>
      <c r="DA8" s="10"/>
      <c r="DB8" s="10"/>
      <c r="DC8" s="10"/>
      <c r="DD8" s="12"/>
      <c r="DE8" s="10"/>
      <c r="DF8" s="10"/>
      <c r="DG8" s="10"/>
      <c r="DH8" s="10"/>
      <c r="DI8" s="12"/>
      <c r="DJ8" s="10"/>
      <c r="DK8" s="10"/>
      <c r="DL8" s="12"/>
      <c r="DM8" s="10"/>
      <c r="DN8" s="10"/>
      <c r="DO8" s="10"/>
      <c r="DP8" s="10"/>
      <c r="DQ8" s="12"/>
      <c r="DR8" s="10"/>
      <c r="DS8" s="13"/>
    </row>
    <row r="9" spans="2:123" s="14" customFormat="1" ht="15" customHeight="1" x14ac:dyDescent="0.25">
      <c r="B9" s="5" t="s">
        <v>250</v>
      </c>
      <c r="C9" s="206">
        <v>4.2</v>
      </c>
      <c r="D9" s="436"/>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433"/>
      <c r="AL9" s="433"/>
      <c r="AM9" s="433"/>
      <c r="AN9" s="433"/>
      <c r="AO9" s="433"/>
      <c r="AP9" s="433"/>
      <c r="AQ9" s="433"/>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c r="BX9" s="12"/>
      <c r="BY9" s="218"/>
      <c r="BZ9" s="9"/>
      <c r="CA9" s="10"/>
      <c r="CB9" s="10"/>
      <c r="CC9" s="10"/>
      <c r="CD9" s="10"/>
      <c r="CE9" s="10"/>
      <c r="CF9" s="12"/>
      <c r="CG9" s="10"/>
      <c r="CH9" s="10"/>
      <c r="CI9" s="10"/>
      <c r="CJ9" s="10"/>
      <c r="CK9" s="10"/>
      <c r="CL9" s="10"/>
      <c r="CM9" s="10"/>
      <c r="CN9" s="12"/>
      <c r="CO9" s="10"/>
      <c r="CP9" s="10"/>
      <c r="CQ9" s="10"/>
      <c r="CR9" s="10"/>
      <c r="CS9" s="10"/>
      <c r="CT9" s="10"/>
      <c r="CU9" s="10"/>
      <c r="CV9" s="12"/>
      <c r="CW9" s="10"/>
      <c r="CX9" s="10"/>
      <c r="CY9" s="10"/>
      <c r="CZ9" s="10"/>
      <c r="DA9" s="10"/>
      <c r="DB9" s="10"/>
      <c r="DC9" s="10"/>
      <c r="DD9" s="12"/>
      <c r="DE9" s="10"/>
      <c r="DF9" s="10"/>
      <c r="DG9" s="10"/>
      <c r="DH9" s="10"/>
      <c r="DI9" s="12"/>
      <c r="DJ9" s="10"/>
      <c r="DK9" s="10"/>
      <c r="DL9" s="12"/>
      <c r="DM9" s="10"/>
      <c r="DN9" s="10"/>
      <c r="DO9" s="10"/>
      <c r="DP9" s="10"/>
      <c r="DQ9" s="12"/>
      <c r="DR9" s="10"/>
      <c r="DS9" s="13"/>
    </row>
    <row r="10" spans="2:123" s="14" customFormat="1" ht="15" customHeight="1" x14ac:dyDescent="0.25">
      <c r="B10" s="42" t="s">
        <v>237</v>
      </c>
      <c r="C10" s="74">
        <v>-50.2</v>
      </c>
      <c r="D10" s="517"/>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433"/>
      <c r="AL10" s="433"/>
      <c r="AM10" s="433"/>
      <c r="AN10" s="433"/>
      <c r="AO10" s="433"/>
      <c r="AP10" s="433"/>
      <c r="AQ10" s="433"/>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12"/>
      <c r="BY10" s="218"/>
      <c r="BZ10" s="9"/>
      <c r="CA10" s="10"/>
      <c r="CB10" s="10"/>
      <c r="CC10" s="10"/>
      <c r="CD10" s="10"/>
      <c r="CE10" s="10"/>
      <c r="CF10" s="12"/>
      <c r="CG10" s="10"/>
      <c r="CH10" s="10"/>
      <c r="CI10" s="10"/>
      <c r="CJ10" s="10"/>
      <c r="CK10" s="10"/>
      <c r="CL10" s="10"/>
      <c r="CM10" s="10"/>
      <c r="CN10" s="12"/>
      <c r="CO10" s="10"/>
      <c r="CP10" s="10"/>
      <c r="CQ10" s="10"/>
      <c r="CR10" s="10"/>
      <c r="CS10" s="10"/>
      <c r="CT10" s="10"/>
      <c r="CU10" s="10"/>
      <c r="CV10" s="12"/>
      <c r="CW10" s="10"/>
      <c r="CX10" s="10"/>
      <c r="CY10" s="10"/>
      <c r="CZ10" s="10"/>
      <c r="DA10" s="10"/>
      <c r="DB10" s="10"/>
      <c r="DC10" s="10"/>
      <c r="DD10" s="12"/>
      <c r="DE10" s="10"/>
      <c r="DF10" s="10"/>
      <c r="DG10" s="10"/>
      <c r="DH10" s="10"/>
      <c r="DI10" s="12"/>
      <c r="DJ10" s="10"/>
      <c r="DK10" s="10"/>
      <c r="DL10" s="12"/>
      <c r="DM10" s="10"/>
      <c r="DN10" s="10"/>
      <c r="DO10" s="10"/>
      <c r="DP10" s="10"/>
      <c r="DQ10" s="12"/>
      <c r="DR10" s="10"/>
      <c r="DS10" s="13"/>
    </row>
    <row r="11" spans="2:123" s="14" customFormat="1" ht="15" customHeight="1" x14ac:dyDescent="0.25">
      <c r="B11" s="42" t="s">
        <v>202</v>
      </c>
      <c r="C11" s="74">
        <v>61.5</v>
      </c>
      <c r="D11" s="5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431"/>
      <c r="AL11" s="431"/>
      <c r="AM11" s="431"/>
      <c r="AN11" s="431"/>
      <c r="AO11" s="431"/>
      <c r="AP11" s="431"/>
      <c r="AQ11" s="431"/>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2"/>
      <c r="BY11" s="17"/>
      <c r="BZ11" s="11"/>
      <c r="CA11" s="10"/>
      <c r="CB11" s="10"/>
      <c r="CC11" s="10"/>
      <c r="CD11" s="10"/>
      <c r="CE11" s="10"/>
      <c r="CF11" s="12"/>
      <c r="CG11" s="10"/>
      <c r="CH11" s="10"/>
      <c r="CI11" s="10"/>
      <c r="CJ11" s="10"/>
      <c r="CK11" s="10"/>
      <c r="CL11" s="10"/>
      <c r="CM11" s="10"/>
      <c r="CN11" s="12"/>
      <c r="CO11" s="10"/>
      <c r="CP11" s="10"/>
      <c r="CQ11" s="10"/>
      <c r="CR11" s="10"/>
      <c r="CS11" s="10"/>
      <c r="CT11" s="10"/>
      <c r="CU11" s="10"/>
      <c r="CV11" s="12"/>
      <c r="CW11" s="10"/>
      <c r="CX11" s="10"/>
      <c r="CY11" s="10"/>
      <c r="CZ11" s="10"/>
      <c r="DA11" s="10"/>
      <c r="DB11" s="10"/>
      <c r="DC11" s="10"/>
      <c r="DD11" s="12"/>
      <c r="DE11" s="10"/>
      <c r="DF11" s="10"/>
      <c r="DG11" s="10"/>
      <c r="DH11" s="10"/>
      <c r="DI11" s="12"/>
      <c r="DJ11" s="10"/>
      <c r="DK11" s="10"/>
      <c r="DL11" s="12"/>
      <c r="DM11" s="10"/>
      <c r="DN11" s="10"/>
      <c r="DO11" s="10"/>
      <c r="DP11" s="10"/>
      <c r="DQ11" s="12"/>
      <c r="DR11" s="10"/>
      <c r="DS11" s="13"/>
    </row>
    <row r="12" spans="2:123" s="14" customFormat="1" ht="15" customHeight="1" thickBot="1" x14ac:dyDescent="0.3">
      <c r="B12" s="87" t="s">
        <v>206</v>
      </c>
      <c r="C12" s="219">
        <v>6.1</v>
      </c>
      <c r="D12" s="5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431"/>
      <c r="AL12" s="431"/>
      <c r="AM12" s="431"/>
      <c r="AN12" s="431"/>
      <c r="AO12" s="431"/>
      <c r="AP12" s="431"/>
      <c r="AQ12" s="431"/>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2"/>
      <c r="BY12" s="17"/>
      <c r="BZ12" s="11"/>
      <c r="CA12" s="10"/>
      <c r="CB12" s="10"/>
      <c r="CC12" s="10"/>
      <c r="CD12" s="10"/>
      <c r="CE12" s="10"/>
      <c r="CF12" s="12"/>
      <c r="CG12" s="10"/>
      <c r="CH12" s="10"/>
      <c r="CI12" s="10"/>
      <c r="CJ12" s="10"/>
      <c r="CK12" s="10"/>
      <c r="CL12" s="10"/>
      <c r="CM12" s="10"/>
      <c r="CN12" s="12"/>
      <c r="CO12" s="10"/>
      <c r="CP12" s="10"/>
      <c r="CQ12" s="10"/>
      <c r="CR12" s="10"/>
      <c r="CS12" s="10"/>
      <c r="CT12" s="10"/>
      <c r="CU12" s="10"/>
      <c r="CV12" s="12"/>
      <c r="CW12" s="10"/>
      <c r="CX12" s="10"/>
      <c r="CY12" s="10"/>
      <c r="CZ12" s="10"/>
      <c r="DA12" s="10"/>
      <c r="DB12" s="10"/>
      <c r="DC12" s="10"/>
      <c r="DD12" s="12"/>
      <c r="DE12" s="10"/>
      <c r="DF12" s="10"/>
      <c r="DG12" s="10"/>
      <c r="DH12" s="10"/>
      <c r="DI12" s="12"/>
      <c r="DJ12" s="10"/>
      <c r="DK12" s="10"/>
      <c r="DL12" s="12"/>
      <c r="DM12" s="10"/>
      <c r="DN12" s="10"/>
      <c r="DO12" s="10"/>
      <c r="DP12" s="10"/>
      <c r="DQ12" s="12"/>
      <c r="DR12" s="10"/>
      <c r="DS12" s="13"/>
    </row>
    <row r="13" spans="2:123" s="14" customFormat="1" ht="15" customHeight="1" x14ac:dyDescent="0.25">
      <c r="B13" s="16"/>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431"/>
      <c r="AL13" s="431"/>
      <c r="AM13" s="431"/>
      <c r="AN13" s="431"/>
      <c r="AO13" s="431"/>
      <c r="AP13" s="431"/>
      <c r="AQ13" s="431"/>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2"/>
      <c r="BY13" s="17"/>
      <c r="BZ13" s="11"/>
      <c r="CA13" s="10"/>
      <c r="CB13" s="10"/>
      <c r="CC13" s="10"/>
      <c r="CD13" s="10"/>
      <c r="CE13" s="10"/>
      <c r="CF13" s="12"/>
      <c r="CG13" s="10"/>
      <c r="CH13" s="10"/>
      <c r="CI13" s="10"/>
      <c r="CJ13" s="10"/>
      <c r="CK13" s="10"/>
      <c r="CL13" s="10"/>
      <c r="CM13" s="10"/>
      <c r="CN13" s="12"/>
      <c r="CO13" s="10"/>
      <c r="CP13" s="10"/>
      <c r="CQ13" s="10"/>
      <c r="CR13" s="10"/>
      <c r="CS13" s="10"/>
      <c r="CT13" s="10"/>
      <c r="CU13" s="10"/>
      <c r="CV13" s="12"/>
      <c r="CW13" s="10"/>
      <c r="CX13" s="10"/>
      <c r="CY13" s="10"/>
      <c r="CZ13" s="10"/>
      <c r="DA13" s="10"/>
      <c r="DB13" s="10"/>
      <c r="DC13" s="10"/>
      <c r="DD13" s="12"/>
      <c r="DE13" s="10"/>
      <c r="DF13" s="10"/>
      <c r="DG13" s="10"/>
      <c r="DH13" s="10"/>
      <c r="DI13" s="12"/>
      <c r="DJ13" s="10"/>
      <c r="DK13" s="10"/>
      <c r="DL13" s="12"/>
      <c r="DM13" s="10"/>
      <c r="DN13" s="10"/>
      <c r="DO13" s="10"/>
      <c r="DP13" s="10"/>
      <c r="DQ13" s="12"/>
      <c r="DR13" s="10"/>
      <c r="DS13" s="13"/>
    </row>
    <row r="14" spans="2:123" s="14" customFormat="1" ht="18" customHeight="1" thickBot="1" x14ac:dyDescent="0.3">
      <c r="B14" s="42" t="str" cm="1">
        <f t="array" aca="1" ref="B14" ca="1">MID(CELL("filename",B1),FIND("]",CELL("filename",B1))+1,255)</f>
        <v>Ergobaby</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431"/>
      <c r="AL14" s="431"/>
      <c r="AM14" s="431"/>
      <c r="AN14" s="431"/>
      <c r="AO14" s="431"/>
      <c r="AP14" s="431"/>
      <c r="AQ14" s="431"/>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2"/>
      <c r="BY14" s="17"/>
      <c r="BZ14" s="11"/>
      <c r="CA14" s="20"/>
      <c r="CB14" s="10"/>
      <c r="CC14" s="10"/>
      <c r="CD14" s="10"/>
      <c r="CE14" s="10"/>
      <c r="CF14" s="12"/>
      <c r="CG14" s="10"/>
      <c r="CH14" s="10"/>
      <c r="CI14" s="10"/>
      <c r="CJ14" s="10"/>
      <c r="CK14" s="10"/>
      <c r="CL14" s="10"/>
      <c r="CM14" s="10"/>
      <c r="CN14" s="12"/>
      <c r="CO14" s="10"/>
      <c r="CP14" s="10"/>
      <c r="CQ14" s="10"/>
      <c r="CR14" s="10"/>
      <c r="CS14" s="10"/>
      <c r="CT14" s="10"/>
      <c r="CU14" s="10"/>
      <c r="CV14" s="12"/>
      <c r="CW14" s="10"/>
      <c r="CX14" s="10"/>
      <c r="CY14" s="10"/>
      <c r="CZ14" s="10"/>
      <c r="DA14" s="10"/>
      <c r="DB14" s="10"/>
      <c r="DC14" s="10"/>
      <c r="DD14" s="12"/>
      <c r="DE14" s="10"/>
      <c r="DF14" s="10"/>
      <c r="DG14" s="10"/>
      <c r="DH14" s="10"/>
      <c r="DI14" s="12"/>
      <c r="DJ14" s="10"/>
      <c r="DK14" s="10"/>
      <c r="DL14" s="12"/>
      <c r="DM14" s="10"/>
      <c r="DN14" s="10"/>
      <c r="DO14" s="10"/>
      <c r="DP14" s="10"/>
      <c r="DQ14" s="12"/>
      <c r="DR14" s="10"/>
      <c r="DS14" s="13"/>
    </row>
    <row r="15" spans="2:123" ht="15.75" thickBot="1" x14ac:dyDescent="0.3">
      <c r="B15" s="16"/>
      <c r="C15" s="17"/>
      <c r="D15" s="17"/>
      <c r="E15" s="807">
        <v>2024</v>
      </c>
      <c r="F15" s="808"/>
      <c r="G15" s="808"/>
      <c r="H15" s="808"/>
      <c r="I15" s="808"/>
      <c r="J15" s="808"/>
      <c r="K15" s="809"/>
      <c r="L15" s="604"/>
      <c r="M15" s="807">
        <v>2023</v>
      </c>
      <c r="N15" s="808"/>
      <c r="O15" s="808"/>
      <c r="P15" s="808"/>
      <c r="Q15" s="808"/>
      <c r="R15" s="808"/>
      <c r="S15" s="809"/>
      <c r="T15" s="566"/>
      <c r="U15" s="807">
        <v>2022</v>
      </c>
      <c r="V15" s="808"/>
      <c r="W15" s="808"/>
      <c r="X15" s="808"/>
      <c r="Y15" s="808"/>
      <c r="Z15" s="808"/>
      <c r="AA15" s="809"/>
      <c r="AB15" s="17"/>
      <c r="AC15" s="819">
        <v>2021</v>
      </c>
      <c r="AD15" s="820"/>
      <c r="AE15" s="820"/>
      <c r="AF15" s="820"/>
      <c r="AG15" s="820"/>
      <c r="AH15" s="820"/>
      <c r="AI15" s="821"/>
      <c r="AJ15" s="17"/>
      <c r="AK15" s="819">
        <v>2020</v>
      </c>
      <c r="AL15" s="820"/>
      <c r="AM15" s="820"/>
      <c r="AN15" s="820"/>
      <c r="AO15" s="820"/>
      <c r="AP15" s="820"/>
      <c r="AQ15" s="821"/>
      <c r="AR15" s="17"/>
      <c r="AS15" s="810">
        <v>2019</v>
      </c>
      <c r="AT15" s="811"/>
      <c r="AU15" s="811"/>
      <c r="AV15" s="811"/>
      <c r="AW15" s="811"/>
      <c r="AX15" s="811"/>
      <c r="AY15" s="812"/>
      <c r="AZ15" s="17"/>
      <c r="BA15" s="810">
        <v>2018</v>
      </c>
      <c r="BB15" s="811"/>
      <c r="BC15" s="811"/>
      <c r="BD15" s="811"/>
      <c r="BE15" s="811"/>
      <c r="BF15" s="811"/>
      <c r="BG15" s="812"/>
      <c r="BH15" s="17"/>
      <c r="BI15" s="810">
        <v>2017</v>
      </c>
      <c r="BJ15" s="811"/>
      <c r="BK15" s="811"/>
      <c r="BL15" s="811"/>
      <c r="BM15" s="811"/>
      <c r="BN15" s="811"/>
      <c r="BO15" s="812"/>
      <c r="BP15" s="17"/>
      <c r="BQ15" s="810">
        <v>2016</v>
      </c>
      <c r="BR15" s="811"/>
      <c r="BS15" s="811"/>
      <c r="BT15" s="811"/>
      <c r="BU15" s="811"/>
      <c r="BV15" s="811"/>
      <c r="BW15" s="812"/>
      <c r="BX15" s="6"/>
      <c r="BY15" s="810">
        <v>2015</v>
      </c>
      <c r="BZ15" s="811"/>
      <c r="CA15" s="811"/>
      <c r="CB15" s="811"/>
      <c r="CC15" s="811"/>
      <c r="CD15" s="811"/>
      <c r="CE15" s="812"/>
      <c r="CF15" s="6"/>
      <c r="CG15" s="810">
        <v>2014</v>
      </c>
      <c r="CH15" s="811"/>
      <c r="CI15" s="811"/>
      <c r="CJ15" s="811"/>
      <c r="CK15" s="811"/>
      <c r="CL15" s="811"/>
      <c r="CM15" s="812"/>
      <c r="CN15" s="6"/>
      <c r="CO15" s="810">
        <v>2013</v>
      </c>
      <c r="CP15" s="811"/>
      <c r="CQ15" s="811"/>
      <c r="CR15" s="811"/>
      <c r="CS15" s="811"/>
      <c r="CT15" s="811"/>
      <c r="CU15" s="812"/>
      <c r="CV15" s="6"/>
      <c r="CW15" s="810">
        <v>2012</v>
      </c>
      <c r="CX15" s="811"/>
      <c r="CY15" s="811"/>
      <c r="CZ15" s="811"/>
      <c r="DA15" s="811"/>
      <c r="DB15" s="811"/>
      <c r="DC15" s="812"/>
      <c r="DD15" s="6"/>
      <c r="DE15" s="810">
        <v>2011</v>
      </c>
      <c r="DF15" s="811"/>
      <c r="DG15" s="811"/>
      <c r="DH15" s="811"/>
      <c r="DI15" s="811"/>
      <c r="DJ15" s="811"/>
      <c r="DK15" s="812"/>
      <c r="DL15" s="6"/>
      <c r="DM15" s="810">
        <v>2010</v>
      </c>
      <c r="DN15" s="811"/>
      <c r="DO15" s="811"/>
      <c r="DP15" s="811"/>
      <c r="DQ15" s="811"/>
      <c r="DR15" s="811"/>
      <c r="DS15" s="812"/>
    </row>
    <row r="16" spans="2:123" x14ac:dyDescent="0.25">
      <c r="B16" s="5"/>
      <c r="C16" s="17"/>
      <c r="D16" s="17"/>
      <c r="E16" s="521" t="s">
        <v>3</v>
      </c>
      <c r="F16" s="97" t="s">
        <v>4</v>
      </c>
      <c r="G16" s="97" t="s">
        <v>5</v>
      </c>
      <c r="H16" s="10" t="s">
        <v>6</v>
      </c>
      <c r="I16" s="97" t="s">
        <v>7</v>
      </c>
      <c r="J16" s="546" t="str">
        <f>R16</f>
        <v>Q4 QTD</v>
      </c>
      <c r="K16" s="82" t="str">
        <f>S16</f>
        <v>Q4 YTD</v>
      </c>
      <c r="L16" s="604"/>
      <c r="M16" s="521" t="s">
        <v>3</v>
      </c>
      <c r="N16" s="97" t="s">
        <v>4</v>
      </c>
      <c r="O16" s="97" t="s">
        <v>5</v>
      </c>
      <c r="P16" s="10" t="s">
        <v>6</v>
      </c>
      <c r="Q16" s="97" t="s">
        <v>7</v>
      </c>
      <c r="R16" s="546" t="str">
        <f>Z16</f>
        <v>Q4 QTD</v>
      </c>
      <c r="S16" s="82" t="str">
        <f>AA16</f>
        <v>Q4 YTD</v>
      </c>
      <c r="T16" s="476"/>
      <c r="U16" s="521" t="s">
        <v>3</v>
      </c>
      <c r="V16" s="97" t="s">
        <v>4</v>
      </c>
      <c r="W16" s="97" t="s">
        <v>5</v>
      </c>
      <c r="X16" s="10" t="s">
        <v>6</v>
      </c>
      <c r="Y16" s="97" t="s">
        <v>7</v>
      </c>
      <c r="Z16" s="546" t="str">
        <f>AH16</f>
        <v>Q4 QTD</v>
      </c>
      <c r="AA16" s="82" t="str">
        <f>AI16</f>
        <v>Q4 YTD</v>
      </c>
      <c r="AB16" s="17"/>
      <c r="AC16" s="76" t="s">
        <v>3</v>
      </c>
      <c r="AD16" s="10" t="s">
        <v>4</v>
      </c>
      <c r="AE16" s="10" t="s">
        <v>5</v>
      </c>
      <c r="AF16" s="10" t="s">
        <v>6</v>
      </c>
      <c r="AG16" s="10" t="s">
        <v>7</v>
      </c>
      <c r="AH16" s="10" t="s">
        <v>8</v>
      </c>
      <c r="AI16" s="13" t="s">
        <v>9</v>
      </c>
      <c r="AJ16" s="17"/>
      <c r="AK16" s="76" t="s">
        <v>3</v>
      </c>
      <c r="AL16" s="10" t="s">
        <v>4</v>
      </c>
      <c r="AM16" s="10" t="s">
        <v>5</v>
      </c>
      <c r="AN16" s="10" t="s">
        <v>6</v>
      </c>
      <c r="AO16" s="10" t="s">
        <v>7</v>
      </c>
      <c r="AP16" s="10" t="s">
        <v>8</v>
      </c>
      <c r="AQ16" s="13" t="s">
        <v>9</v>
      </c>
      <c r="AR16" s="17"/>
      <c r="AS16" s="76" t="s">
        <v>3</v>
      </c>
      <c r="AT16" s="10" t="s">
        <v>4</v>
      </c>
      <c r="AU16" s="10" t="s">
        <v>5</v>
      </c>
      <c r="AV16" s="10" t="s">
        <v>6</v>
      </c>
      <c r="AW16" s="10" t="s">
        <v>7</v>
      </c>
      <c r="AX16" s="10" t="s">
        <v>8</v>
      </c>
      <c r="AY16" s="13" t="s">
        <v>9</v>
      </c>
      <c r="AZ16" s="17"/>
      <c r="BA16" s="76" t="s">
        <v>3</v>
      </c>
      <c r="BB16" s="10" t="s">
        <v>4</v>
      </c>
      <c r="BC16" s="10" t="s">
        <v>5</v>
      </c>
      <c r="BD16" s="10" t="s">
        <v>6</v>
      </c>
      <c r="BE16" s="10" t="s">
        <v>7</v>
      </c>
      <c r="BF16" s="10" t="s">
        <v>8</v>
      </c>
      <c r="BG16" s="13" t="s">
        <v>9</v>
      </c>
      <c r="BH16" s="17"/>
      <c r="BI16" s="76" t="s">
        <v>3</v>
      </c>
      <c r="BJ16" s="10" t="s">
        <v>4</v>
      </c>
      <c r="BK16" s="10" t="s">
        <v>5</v>
      </c>
      <c r="BL16" s="10" t="s">
        <v>6</v>
      </c>
      <c r="BM16" s="10" t="s">
        <v>7</v>
      </c>
      <c r="BN16" s="10" t="s">
        <v>8</v>
      </c>
      <c r="BO16" s="13" t="s">
        <v>9</v>
      </c>
      <c r="BP16" s="17"/>
      <c r="BQ16" s="76" t="s">
        <v>3</v>
      </c>
      <c r="BR16" s="10" t="s">
        <v>4</v>
      </c>
      <c r="BS16" s="10" t="s">
        <v>5</v>
      </c>
      <c r="BT16" s="10" t="s">
        <v>6</v>
      </c>
      <c r="BU16" s="10" t="s">
        <v>7</v>
      </c>
      <c r="BV16" s="10" t="s">
        <v>8</v>
      </c>
      <c r="BW16" s="13" t="s">
        <v>9</v>
      </c>
      <c r="BX16" s="6"/>
      <c r="BY16" s="76" t="s">
        <v>3</v>
      </c>
      <c r="BZ16" s="10" t="s">
        <v>4</v>
      </c>
      <c r="CA16" s="10" t="s">
        <v>5</v>
      </c>
      <c r="CB16" s="10" t="s">
        <v>6</v>
      </c>
      <c r="CC16" s="10" t="s">
        <v>7</v>
      </c>
      <c r="CD16" s="10" t="s">
        <v>8</v>
      </c>
      <c r="CE16" s="13" t="s">
        <v>9</v>
      </c>
      <c r="CF16" s="6"/>
      <c r="CG16" s="76" t="s">
        <v>3</v>
      </c>
      <c r="CH16" s="10" t="s">
        <v>4</v>
      </c>
      <c r="CI16" s="10" t="s">
        <v>5</v>
      </c>
      <c r="CJ16" s="10" t="s">
        <v>6</v>
      </c>
      <c r="CK16" s="10" t="s">
        <v>7</v>
      </c>
      <c r="CL16" s="10" t="s">
        <v>8</v>
      </c>
      <c r="CM16" s="13" t="s">
        <v>9</v>
      </c>
      <c r="CN16" s="6"/>
      <c r="CO16" s="76" t="s">
        <v>3</v>
      </c>
      <c r="CP16" s="10" t="s">
        <v>4</v>
      </c>
      <c r="CQ16" s="10" t="s">
        <v>5</v>
      </c>
      <c r="CR16" s="10" t="s">
        <v>6</v>
      </c>
      <c r="CS16" s="10" t="s">
        <v>7</v>
      </c>
      <c r="CT16" s="10" t="s">
        <v>8</v>
      </c>
      <c r="CU16" s="13" t="s">
        <v>9</v>
      </c>
      <c r="CV16" s="6"/>
      <c r="CW16" s="76" t="s">
        <v>3</v>
      </c>
      <c r="CX16" s="10" t="s">
        <v>4</v>
      </c>
      <c r="CY16" s="10" t="s">
        <v>5</v>
      </c>
      <c r="CZ16" s="10" t="s">
        <v>6</v>
      </c>
      <c r="DA16" s="10" t="s">
        <v>7</v>
      </c>
      <c r="DB16" s="10" t="s">
        <v>8</v>
      </c>
      <c r="DC16" s="13" t="s">
        <v>9</v>
      </c>
      <c r="DD16" s="6"/>
      <c r="DE16" s="76" t="s">
        <v>3</v>
      </c>
      <c r="DF16" s="10" t="s">
        <v>4</v>
      </c>
      <c r="DG16" s="10" t="s">
        <v>5</v>
      </c>
      <c r="DH16" s="10" t="s">
        <v>6</v>
      </c>
      <c r="DI16" s="10" t="s">
        <v>7</v>
      </c>
      <c r="DJ16" s="10" t="s">
        <v>8</v>
      </c>
      <c r="DK16" s="13" t="s">
        <v>9</v>
      </c>
      <c r="DL16" s="6"/>
      <c r="DM16" s="76" t="s">
        <v>3</v>
      </c>
      <c r="DN16" s="10" t="s">
        <v>4</v>
      </c>
      <c r="DO16" s="10" t="s">
        <v>5</v>
      </c>
      <c r="DP16" s="10" t="s">
        <v>6</v>
      </c>
      <c r="DQ16" s="10" t="s">
        <v>7</v>
      </c>
      <c r="DR16" s="10" t="s">
        <v>8</v>
      </c>
      <c r="DS16" s="13" t="s">
        <v>9</v>
      </c>
    </row>
    <row r="17" spans="1:123" x14ac:dyDescent="0.25">
      <c r="B17" s="5"/>
      <c r="C17" s="17"/>
      <c r="D17" s="17"/>
      <c r="E17" s="24"/>
      <c r="F17" s="405"/>
      <c r="G17" s="405"/>
      <c r="H17" s="405"/>
      <c r="I17" s="405"/>
      <c r="J17" s="405"/>
      <c r="K17" s="23"/>
      <c r="L17" s="604"/>
      <c r="M17" s="24"/>
      <c r="N17" s="405"/>
      <c r="O17" s="405"/>
      <c r="P17" s="405"/>
      <c r="Q17" s="405"/>
      <c r="R17" s="405"/>
      <c r="S17" s="23"/>
      <c r="T17" s="483"/>
      <c r="U17" s="24"/>
      <c r="V17" s="405"/>
      <c r="W17" s="405"/>
      <c r="X17" s="405"/>
      <c r="Y17" s="405"/>
      <c r="Z17" s="405"/>
      <c r="AA17" s="23"/>
      <c r="AB17" s="17"/>
      <c r="AC17" s="24"/>
      <c r="AD17" s="405"/>
      <c r="AE17" s="405"/>
      <c r="AF17" s="405"/>
      <c r="AG17" s="405"/>
      <c r="AH17" s="405"/>
      <c r="AI17" s="23"/>
      <c r="AJ17" s="17"/>
      <c r="AK17" s="24"/>
      <c r="AL17" s="405"/>
      <c r="AM17" s="405"/>
      <c r="AN17" s="405"/>
      <c r="AO17" s="405"/>
      <c r="AP17" s="405"/>
      <c r="AQ17" s="23"/>
      <c r="AR17" s="17"/>
      <c r="AS17" s="24"/>
      <c r="AT17" s="22"/>
      <c r="AU17" s="22"/>
      <c r="AV17" s="22"/>
      <c r="AW17" s="22"/>
      <c r="AX17" s="22"/>
      <c r="AY17" s="23"/>
      <c r="AZ17" s="17"/>
      <c r="BA17" s="24"/>
      <c r="BB17" s="22"/>
      <c r="BC17" s="22"/>
      <c r="BD17" s="22"/>
      <c r="BE17" s="22"/>
      <c r="BF17" s="22"/>
      <c r="BG17" s="23"/>
      <c r="BH17" s="17"/>
      <c r="BI17" s="24"/>
      <c r="BJ17" s="22"/>
      <c r="BK17" s="22"/>
      <c r="BL17" s="22"/>
      <c r="BM17" s="22"/>
      <c r="BN17" s="22"/>
      <c r="BO17" s="23"/>
      <c r="BP17" s="17"/>
      <c r="BQ17" s="24"/>
      <c r="BR17" s="22"/>
      <c r="BS17" s="22"/>
      <c r="BT17" s="22"/>
      <c r="BU17" s="22"/>
      <c r="BV17" s="22"/>
      <c r="BW17" s="23"/>
      <c r="BX17" s="6"/>
      <c r="BY17" s="24"/>
      <c r="BZ17" s="22"/>
      <c r="CA17" s="22"/>
      <c r="CB17" s="22"/>
      <c r="CC17" s="22"/>
      <c r="CD17" s="22"/>
      <c r="CE17" s="23"/>
      <c r="CF17" s="6"/>
      <c r="CG17" s="24"/>
      <c r="CH17" s="22"/>
      <c r="CI17" s="22"/>
      <c r="CJ17" s="22"/>
      <c r="CK17" s="22"/>
      <c r="CL17" s="22"/>
      <c r="CM17" s="23"/>
      <c r="CN17" s="6"/>
      <c r="CO17" s="24"/>
      <c r="CP17" s="22"/>
      <c r="CQ17" s="22"/>
      <c r="CR17" s="22"/>
      <c r="CS17" s="22"/>
      <c r="CT17" s="22"/>
      <c r="CU17" s="23"/>
      <c r="CV17" s="6"/>
      <c r="CW17" s="24"/>
      <c r="CX17" s="22"/>
      <c r="CY17" s="22"/>
      <c r="CZ17" s="22"/>
      <c r="DA17" s="22"/>
      <c r="DB17" s="22"/>
      <c r="DC17" s="23"/>
      <c r="DD17" s="6"/>
      <c r="DE17" s="24"/>
      <c r="DF17" s="22"/>
      <c r="DG17" s="22"/>
      <c r="DH17" s="22"/>
      <c r="DI17" s="22"/>
      <c r="DJ17" s="22"/>
      <c r="DK17" s="23"/>
      <c r="DL17" s="6"/>
      <c r="DM17" s="24"/>
      <c r="DN17" s="22"/>
      <c r="DO17" s="22"/>
      <c r="DP17" s="22"/>
      <c r="DQ17" s="22"/>
      <c r="DR17" s="22"/>
      <c r="DS17" s="23"/>
    </row>
    <row r="18" spans="1:123" s="14" customFormat="1" x14ac:dyDescent="0.25">
      <c r="A18" s="4" t="s">
        <v>10</v>
      </c>
      <c r="B18" s="16" t="s">
        <v>10</v>
      </c>
      <c r="C18" s="17"/>
      <c r="D18" s="17"/>
      <c r="E18" s="567">
        <v>21218</v>
      </c>
      <c r="F18" s="406">
        <v>28557</v>
      </c>
      <c r="G18" s="406">
        <v>49775</v>
      </c>
      <c r="H18" s="406">
        <v>21755</v>
      </c>
      <c r="I18" s="406">
        <v>71530</v>
      </c>
      <c r="J18" s="406"/>
      <c r="K18" s="21"/>
      <c r="L18" s="604"/>
      <c r="M18" s="567">
        <v>22418</v>
      </c>
      <c r="N18" s="406">
        <f>O18-M18</f>
        <v>26149</v>
      </c>
      <c r="O18" s="406">
        <v>48567</v>
      </c>
      <c r="P18" s="406">
        <f>Q18-O18</f>
        <v>23218</v>
      </c>
      <c r="Q18" s="423">
        <v>71785</v>
      </c>
      <c r="R18" s="406">
        <f>S18-Q18</f>
        <v>22073.885999999999</v>
      </c>
      <c r="S18" s="21">
        <v>93858.885999999999</v>
      </c>
      <c r="T18" s="483"/>
      <c r="U18" s="25">
        <v>20210</v>
      </c>
      <c r="V18" s="406">
        <f>W18-U18</f>
        <v>26506</v>
      </c>
      <c r="W18" s="406">
        <v>46716</v>
      </c>
      <c r="X18" s="406">
        <f>Y18-W18</f>
        <v>21540</v>
      </c>
      <c r="Y18" s="406">
        <v>68256</v>
      </c>
      <c r="Z18" s="406">
        <f>AA18-Y18</f>
        <v>20179</v>
      </c>
      <c r="AA18" s="21">
        <v>88435</v>
      </c>
      <c r="AB18" s="17"/>
      <c r="AC18" s="25">
        <v>22328</v>
      </c>
      <c r="AD18" s="406">
        <v>26956</v>
      </c>
      <c r="AE18" s="406">
        <v>49284</v>
      </c>
      <c r="AF18" s="406">
        <v>19816</v>
      </c>
      <c r="AG18" s="406">
        <v>69100</v>
      </c>
      <c r="AH18" s="406">
        <f>AI18-AG18</f>
        <v>24531</v>
      </c>
      <c r="AI18" s="21">
        <v>93631</v>
      </c>
      <c r="AJ18" s="17"/>
      <c r="AK18" s="25">
        <v>19649</v>
      </c>
      <c r="AL18" s="406">
        <v>20044</v>
      </c>
      <c r="AM18" s="406">
        <v>39693</v>
      </c>
      <c r="AN18" s="406">
        <v>19478</v>
      </c>
      <c r="AO18" s="406">
        <v>59171</v>
      </c>
      <c r="AP18" s="406">
        <v>15557</v>
      </c>
      <c r="AQ18" s="21">
        <v>74728</v>
      </c>
      <c r="AR18" s="17"/>
      <c r="AS18" s="25">
        <v>22452</v>
      </c>
      <c r="AT18" s="20">
        <v>22971</v>
      </c>
      <c r="AU18" s="20">
        <v>45423</v>
      </c>
      <c r="AV18" s="20">
        <v>23319</v>
      </c>
      <c r="AW18" s="20">
        <v>68742</v>
      </c>
      <c r="AX18" s="20">
        <v>21253</v>
      </c>
      <c r="AY18" s="21">
        <v>89995</v>
      </c>
      <c r="AZ18" s="17"/>
      <c r="BA18" s="25">
        <v>22162</v>
      </c>
      <c r="BB18" s="20">
        <v>23954</v>
      </c>
      <c r="BC18" s="20">
        <v>46116</v>
      </c>
      <c r="BD18" s="20">
        <v>24260</v>
      </c>
      <c r="BE18" s="20">
        <v>70376</v>
      </c>
      <c r="BF18" s="20">
        <v>20190</v>
      </c>
      <c r="BG18" s="21">
        <v>90566</v>
      </c>
      <c r="BH18" s="17"/>
      <c r="BI18" s="25">
        <v>22613</v>
      </c>
      <c r="BJ18" s="20">
        <v>27289</v>
      </c>
      <c r="BK18" s="20">
        <v>49902</v>
      </c>
      <c r="BL18" s="20">
        <v>27835</v>
      </c>
      <c r="BM18" s="20">
        <v>77737</v>
      </c>
      <c r="BN18" s="20">
        <v>25232</v>
      </c>
      <c r="BO18" s="21">
        <v>102969</v>
      </c>
      <c r="BP18" s="17"/>
      <c r="BQ18" s="25">
        <v>19415</v>
      </c>
      <c r="BR18" s="20">
        <v>25969</v>
      </c>
      <c r="BS18" s="20">
        <v>45384</v>
      </c>
      <c r="BT18" s="20">
        <v>29664</v>
      </c>
      <c r="BU18" s="20">
        <v>75048</v>
      </c>
      <c r="BV18" s="20">
        <v>28300</v>
      </c>
      <c r="BW18" s="21">
        <v>103348</v>
      </c>
      <c r="BX18" s="12"/>
      <c r="BY18" s="25">
        <v>20668</v>
      </c>
      <c r="BZ18" s="20">
        <v>21492</v>
      </c>
      <c r="CA18" s="20">
        <v>42160</v>
      </c>
      <c r="CB18" s="20">
        <v>21944</v>
      </c>
      <c r="CC18" s="20">
        <v>64104</v>
      </c>
      <c r="CD18" s="20">
        <v>22402</v>
      </c>
      <c r="CE18" s="21">
        <v>86506</v>
      </c>
      <c r="CF18" s="12"/>
      <c r="CG18" s="25">
        <v>19572</v>
      </c>
      <c r="CH18" s="20">
        <v>19467</v>
      </c>
      <c r="CI18" s="20">
        <v>39039</v>
      </c>
      <c r="CJ18" s="20">
        <v>22429</v>
      </c>
      <c r="CK18" s="20">
        <v>61468</v>
      </c>
      <c r="CL18" s="20">
        <v>20787</v>
      </c>
      <c r="CM18" s="21">
        <v>82255</v>
      </c>
      <c r="CN18" s="26"/>
      <c r="CO18" s="25">
        <v>16207</v>
      </c>
      <c r="CP18" s="20">
        <v>16420</v>
      </c>
      <c r="CQ18" s="20">
        <v>32627</v>
      </c>
      <c r="CR18" s="20">
        <v>16946</v>
      </c>
      <c r="CS18" s="20">
        <v>49573</v>
      </c>
      <c r="CT18" s="20">
        <v>17767</v>
      </c>
      <c r="CU18" s="21">
        <v>67340</v>
      </c>
      <c r="CV18" s="26"/>
      <c r="CW18" s="25">
        <v>13681</v>
      </c>
      <c r="CX18" s="20">
        <v>13344</v>
      </c>
      <c r="CY18" s="20">
        <v>27025</v>
      </c>
      <c r="CZ18" s="20">
        <v>18540</v>
      </c>
      <c r="DA18" s="20">
        <v>45565</v>
      </c>
      <c r="DB18" s="20">
        <v>18467</v>
      </c>
      <c r="DC18" s="21">
        <v>64032</v>
      </c>
      <c r="DD18" s="26"/>
      <c r="DE18" s="25">
        <v>11471</v>
      </c>
      <c r="DF18" s="20">
        <v>11186</v>
      </c>
      <c r="DG18" s="20">
        <v>22657</v>
      </c>
      <c r="DH18" s="20">
        <v>10726</v>
      </c>
      <c r="DI18" s="20">
        <v>33383</v>
      </c>
      <c r="DJ18" s="20">
        <v>10944</v>
      </c>
      <c r="DK18" s="21">
        <v>44327</v>
      </c>
      <c r="DL18" s="26"/>
      <c r="DM18" s="25">
        <v>0</v>
      </c>
      <c r="DN18" s="20">
        <v>0</v>
      </c>
      <c r="DO18" s="20">
        <v>0</v>
      </c>
      <c r="DP18" s="20">
        <v>1469</v>
      </c>
      <c r="DQ18" s="20">
        <v>1469</v>
      </c>
      <c r="DR18" s="20">
        <v>10758</v>
      </c>
      <c r="DS18" s="21">
        <v>12227</v>
      </c>
    </row>
    <row r="19" spans="1:123" s="194" customFormat="1" ht="17.25" x14ac:dyDescent="0.4">
      <c r="A19" s="4" t="s">
        <v>210</v>
      </c>
      <c r="B19" s="16" t="s">
        <v>11</v>
      </c>
      <c r="C19" s="287"/>
      <c r="D19" s="287"/>
      <c r="E19" s="568">
        <v>7260</v>
      </c>
      <c r="F19" s="407">
        <v>10164</v>
      </c>
      <c r="G19" s="407">
        <v>17424</v>
      </c>
      <c r="H19" s="407">
        <v>7931</v>
      </c>
      <c r="I19" s="407">
        <v>25354</v>
      </c>
      <c r="J19" s="407"/>
      <c r="K19" s="292"/>
      <c r="L19" s="605"/>
      <c r="M19" s="568">
        <v>8303</v>
      </c>
      <c r="N19" s="407">
        <f t="shared" ref="N19:R45" si="0">O19-M19</f>
        <v>9345</v>
      </c>
      <c r="O19" s="407">
        <v>17648</v>
      </c>
      <c r="P19" s="407">
        <f t="shared" si="0"/>
        <v>8181</v>
      </c>
      <c r="Q19" s="427">
        <v>25829</v>
      </c>
      <c r="R19" s="407">
        <f t="shared" si="0"/>
        <v>7709.6080000000002</v>
      </c>
      <c r="S19" s="292">
        <v>33538.608</v>
      </c>
      <c r="T19" s="483"/>
      <c r="U19" s="291">
        <v>8033</v>
      </c>
      <c r="V19" s="407">
        <f t="shared" ref="V19:V45" si="1">W19-U19</f>
        <v>9711</v>
      </c>
      <c r="W19" s="407">
        <v>17744</v>
      </c>
      <c r="X19" s="407">
        <f t="shared" ref="X19:X45" si="2">Y19-W19</f>
        <v>8383</v>
      </c>
      <c r="Y19" s="407">
        <v>26127</v>
      </c>
      <c r="Z19" s="407">
        <f t="shared" ref="Z19:Z45" si="3">AA19-Y19</f>
        <v>7878</v>
      </c>
      <c r="AA19" s="292">
        <v>34005</v>
      </c>
      <c r="AB19" s="287"/>
      <c r="AC19" s="291">
        <v>7299</v>
      </c>
      <c r="AD19" s="407">
        <v>9129</v>
      </c>
      <c r="AE19" s="407">
        <v>16428</v>
      </c>
      <c r="AF19" s="407">
        <v>6695</v>
      </c>
      <c r="AG19" s="407">
        <v>23123</v>
      </c>
      <c r="AH19" s="407">
        <f t="shared" ref="AH19:AH44" si="4">AI19-AG19</f>
        <v>9370</v>
      </c>
      <c r="AI19" s="292">
        <v>32493</v>
      </c>
      <c r="AJ19" s="287"/>
      <c r="AK19" s="291">
        <v>6883</v>
      </c>
      <c r="AL19" s="407">
        <v>6868</v>
      </c>
      <c r="AM19" s="407">
        <v>13751</v>
      </c>
      <c r="AN19" s="407">
        <v>6712</v>
      </c>
      <c r="AO19" s="407">
        <v>20463</v>
      </c>
      <c r="AP19" s="407">
        <v>4972</v>
      </c>
      <c r="AQ19" s="292">
        <v>25435</v>
      </c>
      <c r="AR19" s="287"/>
      <c r="AS19" s="291">
        <v>8234</v>
      </c>
      <c r="AT19" s="290">
        <v>8398</v>
      </c>
      <c r="AU19" s="290">
        <v>16632</v>
      </c>
      <c r="AV19" s="290">
        <v>8510</v>
      </c>
      <c r="AW19" s="290">
        <v>25142</v>
      </c>
      <c r="AX19" s="290">
        <v>7772</v>
      </c>
      <c r="AY19" s="292">
        <v>32914</v>
      </c>
      <c r="AZ19" s="287"/>
      <c r="BA19" s="291">
        <v>7223</v>
      </c>
      <c r="BB19" s="290">
        <v>8170</v>
      </c>
      <c r="BC19" s="290">
        <v>15393</v>
      </c>
      <c r="BD19" s="290">
        <v>8232</v>
      </c>
      <c r="BE19" s="290">
        <v>23625</v>
      </c>
      <c r="BF19" s="290">
        <v>7255</v>
      </c>
      <c r="BG19" s="292">
        <v>30880</v>
      </c>
      <c r="BH19" s="287"/>
      <c r="BI19" s="291">
        <v>7515</v>
      </c>
      <c r="BJ19" s="290">
        <v>8973</v>
      </c>
      <c r="BK19" s="290">
        <v>16488</v>
      </c>
      <c r="BL19" s="290">
        <v>9003</v>
      </c>
      <c r="BM19" s="290">
        <v>25491</v>
      </c>
      <c r="BN19" s="290">
        <v>8533</v>
      </c>
      <c r="BO19" s="292">
        <v>34024</v>
      </c>
      <c r="BP19" s="287"/>
      <c r="BQ19" s="291">
        <v>6802</v>
      </c>
      <c r="BR19" s="290">
        <v>8549</v>
      </c>
      <c r="BS19" s="290">
        <v>15351</v>
      </c>
      <c r="BT19" s="290">
        <v>13818</v>
      </c>
      <c r="BU19" s="290">
        <v>29169</v>
      </c>
      <c r="BV19" s="290">
        <v>10793</v>
      </c>
      <c r="BW19" s="292">
        <v>39962</v>
      </c>
      <c r="BX19" s="215"/>
      <c r="BY19" s="291">
        <v>7155</v>
      </c>
      <c r="BZ19" s="290">
        <v>7348</v>
      </c>
      <c r="CA19" s="290">
        <v>14503</v>
      </c>
      <c r="CB19" s="290">
        <v>7866</v>
      </c>
      <c r="CC19" s="290">
        <v>22369</v>
      </c>
      <c r="CD19" s="290">
        <v>7700</v>
      </c>
      <c r="CE19" s="292">
        <v>30069</v>
      </c>
      <c r="CF19" s="215"/>
      <c r="CG19" s="291">
        <v>7182</v>
      </c>
      <c r="CH19" s="290">
        <v>7079</v>
      </c>
      <c r="CI19" s="290">
        <v>14261</v>
      </c>
      <c r="CJ19" s="290">
        <v>7986</v>
      </c>
      <c r="CK19" s="290">
        <v>22247</v>
      </c>
      <c r="CL19" s="290">
        <v>7493</v>
      </c>
      <c r="CM19" s="292">
        <v>29740</v>
      </c>
      <c r="CN19" s="165"/>
      <c r="CO19" s="291">
        <v>6048</v>
      </c>
      <c r="CP19" s="290">
        <v>6253</v>
      </c>
      <c r="CQ19" s="290">
        <v>12301</v>
      </c>
      <c r="CR19" s="290">
        <v>6714</v>
      </c>
      <c r="CS19" s="290">
        <v>19015</v>
      </c>
      <c r="CT19" s="290">
        <v>6677</v>
      </c>
      <c r="CU19" s="292">
        <v>25692</v>
      </c>
      <c r="CV19" s="165"/>
      <c r="CW19" s="291">
        <v>5715</v>
      </c>
      <c r="CX19" s="290">
        <v>4827</v>
      </c>
      <c r="CY19" s="290">
        <v>10542</v>
      </c>
      <c r="CZ19" s="290">
        <v>7148</v>
      </c>
      <c r="DA19" s="290">
        <v>17690</v>
      </c>
      <c r="DB19" s="290">
        <v>7401</v>
      </c>
      <c r="DC19" s="292">
        <v>25091</v>
      </c>
      <c r="DD19" s="165"/>
      <c r="DE19" s="291">
        <v>4406</v>
      </c>
      <c r="DF19" s="290">
        <v>4077</v>
      </c>
      <c r="DG19" s="290">
        <v>8483</v>
      </c>
      <c r="DH19" s="290">
        <v>3601</v>
      </c>
      <c r="DI19" s="290">
        <v>12084</v>
      </c>
      <c r="DJ19" s="290">
        <v>4061</v>
      </c>
      <c r="DK19" s="292">
        <v>16145</v>
      </c>
      <c r="DL19" s="165"/>
      <c r="DM19" s="291">
        <v>0</v>
      </c>
      <c r="DN19" s="290">
        <v>0</v>
      </c>
      <c r="DO19" s="290">
        <v>0</v>
      </c>
      <c r="DP19" s="290">
        <v>1035</v>
      </c>
      <c r="DQ19" s="290">
        <v>1035</v>
      </c>
      <c r="DR19" s="290">
        <v>7072</v>
      </c>
      <c r="DS19" s="292">
        <v>8107</v>
      </c>
    </row>
    <row r="20" spans="1:123" s="14" customFormat="1" x14ac:dyDescent="0.25">
      <c r="A20" s="4" t="s">
        <v>12</v>
      </c>
      <c r="B20" s="16" t="s">
        <v>12</v>
      </c>
      <c r="C20" s="17"/>
      <c r="D20" s="17"/>
      <c r="E20" s="25">
        <f>E18-E19</f>
        <v>13958</v>
      </c>
      <c r="F20" s="406">
        <f>F18-F19</f>
        <v>18393</v>
      </c>
      <c r="G20" s="406">
        <f>G18-G19</f>
        <v>32351</v>
      </c>
      <c r="H20" s="406">
        <f>H18-H19</f>
        <v>13824</v>
      </c>
      <c r="I20" s="406">
        <f>I18-I19</f>
        <v>46176</v>
      </c>
      <c r="J20" s="406"/>
      <c r="K20" s="21"/>
      <c r="L20" s="604"/>
      <c r="M20" s="567">
        <v>14115</v>
      </c>
      <c r="N20" s="406">
        <f t="shared" si="0"/>
        <v>16804</v>
      </c>
      <c r="O20" s="406">
        <v>30919</v>
      </c>
      <c r="P20" s="406">
        <f t="shared" si="0"/>
        <v>15037</v>
      </c>
      <c r="Q20" s="423">
        <v>45956</v>
      </c>
      <c r="R20" s="406">
        <f t="shared" si="0"/>
        <v>14364.277999999998</v>
      </c>
      <c r="S20" s="21">
        <v>60320.277999999998</v>
      </c>
      <c r="T20" s="483"/>
      <c r="U20" s="25">
        <f>U18-U19</f>
        <v>12177</v>
      </c>
      <c r="V20" s="406">
        <f t="shared" si="1"/>
        <v>16795</v>
      </c>
      <c r="W20" s="406">
        <v>28972</v>
      </c>
      <c r="X20" s="406">
        <f t="shared" si="2"/>
        <v>13157</v>
      </c>
      <c r="Y20" s="406">
        <v>42129</v>
      </c>
      <c r="Z20" s="406">
        <f t="shared" si="3"/>
        <v>12301</v>
      </c>
      <c r="AA20" s="21">
        <v>54430</v>
      </c>
      <c r="AB20" s="17"/>
      <c r="AC20" s="25">
        <v>15029</v>
      </c>
      <c r="AD20" s="406">
        <v>17827</v>
      </c>
      <c r="AE20" s="406">
        <v>32856</v>
      </c>
      <c r="AF20" s="406">
        <v>13121</v>
      </c>
      <c r="AG20" s="406">
        <v>45977</v>
      </c>
      <c r="AH20" s="406">
        <f t="shared" si="4"/>
        <v>15161</v>
      </c>
      <c r="AI20" s="21">
        <f>AI18-AI19</f>
        <v>61138</v>
      </c>
      <c r="AJ20" s="17"/>
      <c r="AK20" s="25">
        <v>12766</v>
      </c>
      <c r="AL20" s="406">
        <v>13176</v>
      </c>
      <c r="AM20" s="406">
        <v>25942</v>
      </c>
      <c r="AN20" s="406">
        <v>12766</v>
      </c>
      <c r="AO20" s="406">
        <v>38708</v>
      </c>
      <c r="AP20" s="406">
        <v>10585</v>
      </c>
      <c r="AQ20" s="21">
        <v>49293</v>
      </c>
      <c r="AR20" s="17"/>
      <c r="AS20" s="25">
        <v>14218</v>
      </c>
      <c r="AT20" s="20">
        <v>14573</v>
      </c>
      <c r="AU20" s="20">
        <v>28791</v>
      </c>
      <c r="AV20" s="20">
        <v>14809</v>
      </c>
      <c r="AW20" s="20">
        <v>43600</v>
      </c>
      <c r="AX20" s="20">
        <v>13481</v>
      </c>
      <c r="AY20" s="21">
        <v>57081</v>
      </c>
      <c r="AZ20" s="17"/>
      <c r="BA20" s="25">
        <v>14939</v>
      </c>
      <c r="BB20" s="20">
        <v>15784</v>
      </c>
      <c r="BC20" s="20">
        <v>30723</v>
      </c>
      <c r="BD20" s="20">
        <v>16028</v>
      </c>
      <c r="BE20" s="20">
        <v>46751</v>
      </c>
      <c r="BF20" s="20">
        <v>12935</v>
      </c>
      <c r="BG20" s="21">
        <v>59686</v>
      </c>
      <c r="BH20" s="17"/>
      <c r="BI20" s="25">
        <v>15098</v>
      </c>
      <c r="BJ20" s="20">
        <v>18316</v>
      </c>
      <c r="BK20" s="20">
        <v>33414</v>
      </c>
      <c r="BL20" s="20">
        <v>18832</v>
      </c>
      <c r="BM20" s="20">
        <v>52246</v>
      </c>
      <c r="BN20" s="20">
        <v>16699</v>
      </c>
      <c r="BO20" s="21">
        <v>68945</v>
      </c>
      <c r="BP20" s="17"/>
      <c r="BQ20" s="25">
        <v>12613</v>
      </c>
      <c r="BR20" s="20">
        <v>17420</v>
      </c>
      <c r="BS20" s="20">
        <v>30033</v>
      </c>
      <c r="BT20" s="20">
        <v>15846</v>
      </c>
      <c r="BU20" s="20">
        <v>45879</v>
      </c>
      <c r="BV20" s="20">
        <v>17507</v>
      </c>
      <c r="BW20" s="21">
        <v>63386</v>
      </c>
      <c r="BX20" s="12"/>
      <c r="BY20" s="25">
        <v>13513</v>
      </c>
      <c r="BZ20" s="20">
        <v>14144</v>
      </c>
      <c r="CA20" s="20">
        <v>27657</v>
      </c>
      <c r="CB20" s="20">
        <v>14078</v>
      </c>
      <c r="CC20" s="20">
        <v>41735</v>
      </c>
      <c r="CD20" s="20">
        <v>14702</v>
      </c>
      <c r="CE20" s="21">
        <v>56437</v>
      </c>
      <c r="CF20" s="12"/>
      <c r="CG20" s="25">
        <v>12390</v>
      </c>
      <c r="CH20" s="20">
        <v>12388</v>
      </c>
      <c r="CI20" s="20">
        <v>24778</v>
      </c>
      <c r="CJ20" s="20">
        <v>14443</v>
      </c>
      <c r="CK20" s="20">
        <v>39221</v>
      </c>
      <c r="CL20" s="20">
        <v>13294</v>
      </c>
      <c r="CM20" s="21">
        <v>52515</v>
      </c>
      <c r="CN20" s="26"/>
      <c r="CO20" s="25">
        <v>10159</v>
      </c>
      <c r="CP20" s="20">
        <v>10167</v>
      </c>
      <c r="CQ20" s="20">
        <v>20326</v>
      </c>
      <c r="CR20" s="20">
        <v>10232</v>
      </c>
      <c r="CS20" s="20">
        <v>30558</v>
      </c>
      <c r="CT20" s="20">
        <v>11090</v>
      </c>
      <c r="CU20" s="21">
        <v>41648</v>
      </c>
      <c r="CV20" s="26"/>
      <c r="CW20" s="25">
        <v>7966</v>
      </c>
      <c r="CX20" s="20">
        <v>8517</v>
      </c>
      <c r="CY20" s="20">
        <v>16483</v>
      </c>
      <c r="CZ20" s="20">
        <v>11392</v>
      </c>
      <c r="DA20" s="20">
        <v>27875</v>
      </c>
      <c r="DB20" s="20">
        <v>11066</v>
      </c>
      <c r="DC20" s="21">
        <v>38941</v>
      </c>
      <c r="DD20" s="26"/>
      <c r="DE20" s="25">
        <v>7065</v>
      </c>
      <c r="DF20" s="20">
        <v>7109</v>
      </c>
      <c r="DG20" s="20">
        <v>14174</v>
      </c>
      <c r="DH20" s="20">
        <v>7125</v>
      </c>
      <c r="DI20" s="20">
        <v>21299</v>
      </c>
      <c r="DJ20" s="20">
        <v>6883</v>
      </c>
      <c r="DK20" s="21">
        <v>28182</v>
      </c>
      <c r="DL20" s="26"/>
      <c r="DM20" s="25">
        <v>0</v>
      </c>
      <c r="DN20" s="20">
        <v>0</v>
      </c>
      <c r="DO20" s="20">
        <v>0</v>
      </c>
      <c r="DP20" s="20">
        <v>434</v>
      </c>
      <c r="DQ20" s="20">
        <v>434</v>
      </c>
      <c r="DR20" s="20">
        <v>3686</v>
      </c>
      <c r="DS20" s="21">
        <v>4120</v>
      </c>
    </row>
    <row r="21" spans="1:123" ht="15" customHeight="1" outlineLevel="1" x14ac:dyDescent="0.25">
      <c r="A21" s="4" t="s">
        <v>211</v>
      </c>
      <c r="B21" s="5" t="s">
        <v>13</v>
      </c>
      <c r="C21" s="17"/>
      <c r="D21" s="17"/>
      <c r="E21" s="569">
        <v>12991</v>
      </c>
      <c r="F21" s="408">
        <v>13865</v>
      </c>
      <c r="G21" s="408">
        <v>26856</v>
      </c>
      <c r="H21" s="408">
        <v>12793</v>
      </c>
      <c r="I21" s="408">
        <v>39650</v>
      </c>
      <c r="J21" s="408"/>
      <c r="K21" s="29"/>
      <c r="L21" s="604"/>
      <c r="M21" s="569">
        <v>11737</v>
      </c>
      <c r="N21" s="408">
        <f t="shared" si="0"/>
        <v>12285</v>
      </c>
      <c r="O21" s="408">
        <v>24022</v>
      </c>
      <c r="P21" s="408">
        <f t="shared" si="0"/>
        <v>11759</v>
      </c>
      <c r="Q21" s="424">
        <v>35781</v>
      </c>
      <c r="R21" s="408">
        <f t="shared" si="0"/>
        <v>11795.105000000003</v>
      </c>
      <c r="S21" s="29">
        <v>47576.105000000003</v>
      </c>
      <c r="T21" s="483"/>
      <c r="U21" s="27">
        <v>10467</v>
      </c>
      <c r="V21" s="408">
        <f t="shared" si="1"/>
        <v>11258</v>
      </c>
      <c r="W21" s="408">
        <v>21725</v>
      </c>
      <c r="X21" s="408">
        <f t="shared" si="2"/>
        <v>10577</v>
      </c>
      <c r="Y21" s="408">
        <v>32302</v>
      </c>
      <c r="Z21" s="408">
        <f t="shared" si="3"/>
        <v>10438</v>
      </c>
      <c r="AA21" s="29">
        <v>42740</v>
      </c>
      <c r="AB21" s="17"/>
      <c r="AC21" s="27">
        <v>10925</v>
      </c>
      <c r="AD21" s="408">
        <v>12052</v>
      </c>
      <c r="AE21" s="408">
        <v>22977</v>
      </c>
      <c r="AF21" s="408">
        <v>10892</v>
      </c>
      <c r="AG21" s="408">
        <v>33869</v>
      </c>
      <c r="AH21" s="408">
        <f t="shared" si="4"/>
        <v>10053</v>
      </c>
      <c r="AI21" s="29">
        <v>43922</v>
      </c>
      <c r="AJ21" s="17"/>
      <c r="AK21" s="27">
        <v>9256</v>
      </c>
      <c r="AL21" s="408">
        <v>9194</v>
      </c>
      <c r="AM21" s="408">
        <v>18450</v>
      </c>
      <c r="AN21" s="408">
        <v>8447</v>
      </c>
      <c r="AO21" s="408">
        <v>26897</v>
      </c>
      <c r="AP21" s="408">
        <v>9382</v>
      </c>
      <c r="AQ21" s="29">
        <v>36279</v>
      </c>
      <c r="AR21" s="17"/>
      <c r="AS21" s="27">
        <v>9132</v>
      </c>
      <c r="AT21" s="28">
        <v>9827</v>
      </c>
      <c r="AU21" s="28">
        <v>18959</v>
      </c>
      <c r="AV21" s="28">
        <v>9635</v>
      </c>
      <c r="AW21" s="28">
        <v>28594</v>
      </c>
      <c r="AX21" s="28">
        <v>10273</v>
      </c>
      <c r="AY21" s="29">
        <v>38867</v>
      </c>
      <c r="AZ21" s="17"/>
      <c r="BA21" s="27">
        <v>10671</v>
      </c>
      <c r="BB21" s="28">
        <v>10083</v>
      </c>
      <c r="BC21" s="28">
        <v>20754</v>
      </c>
      <c r="BD21" s="28">
        <v>9890</v>
      </c>
      <c r="BE21" s="28">
        <v>30644</v>
      </c>
      <c r="BF21" s="28">
        <v>9571</v>
      </c>
      <c r="BG21" s="29">
        <v>40215</v>
      </c>
      <c r="BH21" s="17"/>
      <c r="BI21" s="27">
        <v>9307</v>
      </c>
      <c r="BJ21" s="28">
        <v>9079</v>
      </c>
      <c r="BK21" s="28">
        <v>18386</v>
      </c>
      <c r="BL21" s="28">
        <v>9973</v>
      </c>
      <c r="BM21" s="28">
        <v>28359</v>
      </c>
      <c r="BN21" s="28">
        <v>5001</v>
      </c>
      <c r="BO21" s="29">
        <v>33360</v>
      </c>
      <c r="BP21" s="17"/>
      <c r="BQ21" s="27">
        <v>7825</v>
      </c>
      <c r="BR21" s="28">
        <v>9715</v>
      </c>
      <c r="BS21" s="28">
        <v>17540</v>
      </c>
      <c r="BT21" s="28">
        <v>9950</v>
      </c>
      <c r="BU21" s="28">
        <v>27490</v>
      </c>
      <c r="BV21" s="28">
        <v>10213</v>
      </c>
      <c r="BW21" s="29">
        <v>37703</v>
      </c>
      <c r="BX21" s="6"/>
      <c r="BY21" s="27">
        <v>7343</v>
      </c>
      <c r="BZ21" s="28">
        <v>7741</v>
      </c>
      <c r="CA21" s="28">
        <v>15084</v>
      </c>
      <c r="CB21" s="28">
        <v>7602</v>
      </c>
      <c r="CC21" s="28">
        <v>22686</v>
      </c>
      <c r="CD21" s="28">
        <v>8611</v>
      </c>
      <c r="CE21" s="29">
        <v>31297</v>
      </c>
      <c r="CF21" s="6"/>
      <c r="CG21" s="27">
        <v>7179</v>
      </c>
      <c r="CH21" s="28">
        <v>7279</v>
      </c>
      <c r="CI21" s="22">
        <v>14458</v>
      </c>
      <c r="CJ21" s="28">
        <v>8682</v>
      </c>
      <c r="CK21" s="22">
        <v>23140</v>
      </c>
      <c r="CL21" s="28">
        <v>7751</v>
      </c>
      <c r="CM21" s="23">
        <v>30891</v>
      </c>
      <c r="CN21" s="30"/>
      <c r="CO21" s="27">
        <v>6577</v>
      </c>
      <c r="CP21" s="28">
        <v>6049</v>
      </c>
      <c r="CQ21" s="22">
        <v>12626</v>
      </c>
      <c r="CR21" s="28">
        <v>6313</v>
      </c>
      <c r="CS21" s="22">
        <v>18939</v>
      </c>
      <c r="CT21" s="28">
        <v>6622</v>
      </c>
      <c r="CU21" s="23">
        <v>25561</v>
      </c>
      <c r="CV21" s="30"/>
      <c r="CW21" s="27">
        <v>5414</v>
      </c>
      <c r="CX21" s="28">
        <v>5604</v>
      </c>
      <c r="CY21" s="22">
        <v>11018</v>
      </c>
      <c r="CZ21" s="28">
        <v>6284</v>
      </c>
      <c r="DA21" s="22">
        <v>17302</v>
      </c>
      <c r="DB21" s="28">
        <v>7174</v>
      </c>
      <c r="DC21" s="23">
        <v>24476</v>
      </c>
      <c r="DD21" s="30"/>
      <c r="DE21" s="27">
        <v>4127</v>
      </c>
      <c r="DF21" s="28">
        <v>4354</v>
      </c>
      <c r="DG21" s="22">
        <v>8481</v>
      </c>
      <c r="DH21" s="28">
        <v>4024</v>
      </c>
      <c r="DI21" s="22">
        <v>12505</v>
      </c>
      <c r="DJ21" s="28">
        <v>5493</v>
      </c>
      <c r="DK21" s="23">
        <v>17998</v>
      </c>
      <c r="DL21" s="30"/>
      <c r="DM21" s="27">
        <v>0</v>
      </c>
      <c r="DN21" s="28">
        <v>0</v>
      </c>
      <c r="DO21" s="22">
        <v>0</v>
      </c>
      <c r="DP21" s="28">
        <v>2370</v>
      </c>
      <c r="DQ21" s="22">
        <v>2370</v>
      </c>
      <c r="DR21" s="28">
        <v>3513</v>
      </c>
      <c r="DS21" s="23">
        <v>5883</v>
      </c>
    </row>
    <row r="22" spans="1:123" ht="15" customHeight="1" outlineLevel="1" x14ac:dyDescent="0.25">
      <c r="A22" s="4" t="s">
        <v>212</v>
      </c>
      <c r="B22" s="5" t="s">
        <v>14</v>
      </c>
      <c r="C22" s="17"/>
      <c r="D22" s="17"/>
      <c r="E22" s="569">
        <v>125</v>
      </c>
      <c r="F22" s="408">
        <v>125</v>
      </c>
      <c r="G22" s="408">
        <v>250</v>
      </c>
      <c r="H22" s="408">
        <v>125</v>
      </c>
      <c r="I22" s="408">
        <v>375</v>
      </c>
      <c r="J22" s="408"/>
      <c r="K22" s="29"/>
      <c r="L22" s="604"/>
      <c r="M22" s="569">
        <v>125</v>
      </c>
      <c r="N22" s="408">
        <f t="shared" si="0"/>
        <v>125</v>
      </c>
      <c r="O22" s="408">
        <v>250</v>
      </c>
      <c r="P22" s="408">
        <f t="shared" si="0"/>
        <v>125</v>
      </c>
      <c r="Q22" s="424">
        <v>375</v>
      </c>
      <c r="R22" s="408">
        <f t="shared" si="0"/>
        <v>125</v>
      </c>
      <c r="S22" s="29">
        <v>500</v>
      </c>
      <c r="T22" s="483"/>
      <c r="U22" s="27">
        <v>125</v>
      </c>
      <c r="V22" s="408">
        <f t="shared" si="1"/>
        <v>125</v>
      </c>
      <c r="W22" s="408">
        <v>250</v>
      </c>
      <c r="X22" s="408">
        <f t="shared" si="2"/>
        <v>125</v>
      </c>
      <c r="Y22" s="408">
        <v>375</v>
      </c>
      <c r="Z22" s="408">
        <f t="shared" si="3"/>
        <v>125</v>
      </c>
      <c r="AA22" s="29">
        <v>500</v>
      </c>
      <c r="AB22" s="17"/>
      <c r="AC22" s="27">
        <v>125</v>
      </c>
      <c r="AD22" s="408">
        <v>125</v>
      </c>
      <c r="AE22" s="408">
        <v>250</v>
      </c>
      <c r="AF22" s="408">
        <v>125</v>
      </c>
      <c r="AG22" s="408">
        <v>375</v>
      </c>
      <c r="AH22" s="408">
        <f t="shared" si="4"/>
        <v>125</v>
      </c>
      <c r="AI22" s="29">
        <v>500</v>
      </c>
      <c r="AJ22" s="17"/>
      <c r="AK22" s="27">
        <v>125</v>
      </c>
      <c r="AL22" s="408">
        <v>125</v>
      </c>
      <c r="AM22" s="408">
        <v>250</v>
      </c>
      <c r="AN22" s="408">
        <v>125</v>
      </c>
      <c r="AO22" s="408">
        <v>375</v>
      </c>
      <c r="AP22" s="408">
        <v>125</v>
      </c>
      <c r="AQ22" s="29">
        <v>500</v>
      </c>
      <c r="AR22" s="17"/>
      <c r="AS22" s="27">
        <v>125</v>
      </c>
      <c r="AT22" s="28">
        <v>125</v>
      </c>
      <c r="AU22" s="28">
        <v>250</v>
      </c>
      <c r="AV22" s="28">
        <v>125</v>
      </c>
      <c r="AW22" s="28">
        <v>375</v>
      </c>
      <c r="AX22" s="28">
        <v>125</v>
      </c>
      <c r="AY22" s="29">
        <v>500</v>
      </c>
      <c r="AZ22" s="17"/>
      <c r="BA22" s="27">
        <v>125</v>
      </c>
      <c r="BB22" s="28">
        <v>125</v>
      </c>
      <c r="BC22" s="28">
        <v>250</v>
      </c>
      <c r="BD22" s="28">
        <v>125</v>
      </c>
      <c r="BE22" s="28">
        <v>375</v>
      </c>
      <c r="BF22" s="28">
        <v>125</v>
      </c>
      <c r="BG22" s="29">
        <v>500</v>
      </c>
      <c r="BH22" s="17"/>
      <c r="BI22" s="27">
        <v>125</v>
      </c>
      <c r="BJ22" s="28">
        <v>125</v>
      </c>
      <c r="BK22" s="28">
        <v>250</v>
      </c>
      <c r="BL22" s="28">
        <v>125</v>
      </c>
      <c r="BM22" s="28">
        <v>375</v>
      </c>
      <c r="BN22" s="28">
        <v>125</v>
      </c>
      <c r="BO22" s="29">
        <v>500</v>
      </c>
      <c r="BP22" s="17"/>
      <c r="BQ22" s="27">
        <v>125</v>
      </c>
      <c r="BR22" s="28">
        <v>125</v>
      </c>
      <c r="BS22" s="28">
        <v>250</v>
      </c>
      <c r="BT22" s="28">
        <v>125</v>
      </c>
      <c r="BU22" s="28">
        <v>375</v>
      </c>
      <c r="BV22" s="28">
        <v>125</v>
      </c>
      <c r="BW22" s="29">
        <v>500</v>
      </c>
      <c r="BX22" s="6"/>
      <c r="BY22" s="27">
        <v>125</v>
      </c>
      <c r="BZ22" s="28">
        <v>125</v>
      </c>
      <c r="CA22" s="28">
        <v>250</v>
      </c>
      <c r="CB22" s="28">
        <v>125</v>
      </c>
      <c r="CC22" s="28">
        <v>375</v>
      </c>
      <c r="CD22" s="28">
        <v>125</v>
      </c>
      <c r="CE22" s="29">
        <v>500</v>
      </c>
      <c r="CF22" s="6"/>
      <c r="CG22" s="27">
        <v>125</v>
      </c>
      <c r="CH22" s="28">
        <v>125</v>
      </c>
      <c r="CI22" s="22">
        <v>250</v>
      </c>
      <c r="CJ22" s="28">
        <v>125</v>
      </c>
      <c r="CK22" s="22">
        <v>375</v>
      </c>
      <c r="CL22" s="28">
        <v>125</v>
      </c>
      <c r="CM22" s="23">
        <v>500</v>
      </c>
      <c r="CN22" s="30"/>
      <c r="CO22" s="27">
        <v>125</v>
      </c>
      <c r="CP22" s="28">
        <v>125</v>
      </c>
      <c r="CQ22" s="22">
        <v>250</v>
      </c>
      <c r="CR22" s="28">
        <v>125</v>
      </c>
      <c r="CS22" s="22">
        <v>375</v>
      </c>
      <c r="CT22" s="28">
        <v>125</v>
      </c>
      <c r="CU22" s="23">
        <v>500</v>
      </c>
      <c r="CV22" s="30"/>
      <c r="CW22" s="27">
        <v>125</v>
      </c>
      <c r="CX22" s="28">
        <v>125</v>
      </c>
      <c r="CY22" s="22">
        <v>250</v>
      </c>
      <c r="CZ22" s="28">
        <v>125</v>
      </c>
      <c r="DA22" s="22">
        <v>375</v>
      </c>
      <c r="DB22" s="28">
        <v>125</v>
      </c>
      <c r="DC22" s="23">
        <v>500</v>
      </c>
      <c r="DD22" s="30"/>
      <c r="DE22" s="27">
        <v>125</v>
      </c>
      <c r="DF22" s="28">
        <v>125</v>
      </c>
      <c r="DG22" s="22">
        <v>250</v>
      </c>
      <c r="DH22" s="28">
        <v>125</v>
      </c>
      <c r="DI22" s="22">
        <v>375</v>
      </c>
      <c r="DJ22" s="28">
        <v>125</v>
      </c>
      <c r="DK22" s="23">
        <v>500</v>
      </c>
      <c r="DL22" s="30"/>
      <c r="DM22" s="27">
        <v>0</v>
      </c>
      <c r="DN22" s="28">
        <v>0</v>
      </c>
      <c r="DO22" s="22">
        <v>0</v>
      </c>
      <c r="DP22" s="28">
        <v>0</v>
      </c>
      <c r="DQ22" s="22">
        <v>0</v>
      </c>
      <c r="DR22" s="28">
        <v>125</v>
      </c>
      <c r="DS22" s="23">
        <v>125</v>
      </c>
    </row>
    <row r="23" spans="1:123" ht="15" customHeight="1" outlineLevel="1" x14ac:dyDescent="0.25">
      <c r="A23" s="4" t="s">
        <v>213</v>
      </c>
      <c r="B23" s="5" t="s">
        <v>15</v>
      </c>
      <c r="C23" s="17"/>
      <c r="D23" s="17"/>
      <c r="E23" s="569">
        <v>1840</v>
      </c>
      <c r="F23" s="405">
        <v>1841</v>
      </c>
      <c r="G23" s="405">
        <v>3681</v>
      </c>
      <c r="H23" s="405">
        <v>1841</v>
      </c>
      <c r="I23" s="405">
        <v>5522</v>
      </c>
      <c r="J23" s="405"/>
      <c r="K23" s="23"/>
      <c r="L23" s="604"/>
      <c r="M23" s="569">
        <v>1865</v>
      </c>
      <c r="N23" s="405">
        <f t="shared" si="0"/>
        <v>1868</v>
      </c>
      <c r="O23" s="405">
        <v>3733</v>
      </c>
      <c r="P23" s="405">
        <f t="shared" si="0"/>
        <v>1865</v>
      </c>
      <c r="Q23" s="424">
        <v>5598</v>
      </c>
      <c r="R23" s="405">
        <f t="shared" si="0"/>
        <v>1826.4899999999998</v>
      </c>
      <c r="S23" s="23">
        <v>7424.49</v>
      </c>
      <c r="T23" s="483"/>
      <c r="U23" s="24">
        <v>1861</v>
      </c>
      <c r="V23" s="405">
        <f t="shared" si="1"/>
        <v>1863</v>
      </c>
      <c r="W23" s="405">
        <v>3724</v>
      </c>
      <c r="X23" s="405">
        <f t="shared" si="2"/>
        <v>1862</v>
      </c>
      <c r="Y23" s="405">
        <v>5586</v>
      </c>
      <c r="Z23" s="405">
        <f t="shared" si="3"/>
        <v>1866</v>
      </c>
      <c r="AA23" s="23">
        <v>7452</v>
      </c>
      <c r="AB23" s="17"/>
      <c r="AC23" s="24">
        <v>2015</v>
      </c>
      <c r="AD23" s="405">
        <v>1896</v>
      </c>
      <c r="AE23" s="405">
        <v>3911</v>
      </c>
      <c r="AF23" s="405">
        <v>1858</v>
      </c>
      <c r="AG23" s="405">
        <v>5769</v>
      </c>
      <c r="AH23" s="405">
        <f t="shared" si="4"/>
        <v>1860</v>
      </c>
      <c r="AI23" s="23">
        <v>7629</v>
      </c>
      <c r="AJ23" s="17"/>
      <c r="AK23" s="24">
        <v>1831</v>
      </c>
      <c r="AL23" s="405">
        <v>1831</v>
      </c>
      <c r="AM23" s="405">
        <v>3662</v>
      </c>
      <c r="AN23" s="405">
        <v>1831</v>
      </c>
      <c r="AO23" s="405">
        <v>5493</v>
      </c>
      <c r="AP23" s="405">
        <v>1827</v>
      </c>
      <c r="AQ23" s="23">
        <v>7320</v>
      </c>
      <c r="AR23" s="17"/>
      <c r="AS23" s="24">
        <v>1825</v>
      </c>
      <c r="AT23" s="22">
        <v>1826</v>
      </c>
      <c r="AU23" s="22">
        <v>3651</v>
      </c>
      <c r="AV23" s="22">
        <v>1829</v>
      </c>
      <c r="AW23" s="22">
        <v>5480</v>
      </c>
      <c r="AX23" s="22">
        <v>1830</v>
      </c>
      <c r="AY23" s="23">
        <v>7310</v>
      </c>
      <c r="AZ23" s="17"/>
      <c r="BA23" s="24">
        <v>1803</v>
      </c>
      <c r="BB23" s="22">
        <v>2001</v>
      </c>
      <c r="BC23" s="22">
        <v>3804</v>
      </c>
      <c r="BD23" s="22">
        <v>1822</v>
      </c>
      <c r="BE23" s="22">
        <v>5626</v>
      </c>
      <c r="BF23" s="22">
        <v>1823</v>
      </c>
      <c r="BG23" s="23">
        <v>7449</v>
      </c>
      <c r="BH23" s="17"/>
      <c r="BI23" s="24">
        <v>466</v>
      </c>
      <c r="BJ23" s="22">
        <v>5468</v>
      </c>
      <c r="BK23" s="22">
        <v>5934</v>
      </c>
      <c r="BL23" s="22">
        <v>2850</v>
      </c>
      <c r="BM23" s="22">
        <v>8784</v>
      </c>
      <c r="BN23" s="22">
        <v>1799</v>
      </c>
      <c r="BO23" s="23">
        <v>10583</v>
      </c>
      <c r="BP23" s="17"/>
      <c r="BQ23" s="24">
        <v>573</v>
      </c>
      <c r="BR23" s="22">
        <v>575</v>
      </c>
      <c r="BS23" s="22">
        <v>1148</v>
      </c>
      <c r="BT23" s="22">
        <v>552</v>
      </c>
      <c r="BU23" s="22">
        <v>1700</v>
      </c>
      <c r="BV23" s="22">
        <v>433</v>
      </c>
      <c r="BW23" s="23">
        <v>2133</v>
      </c>
      <c r="BX23" s="6"/>
      <c r="BY23" s="24">
        <v>639</v>
      </c>
      <c r="BZ23" s="22">
        <v>637</v>
      </c>
      <c r="CA23" s="22">
        <v>1276</v>
      </c>
      <c r="CB23" s="22">
        <v>634</v>
      </c>
      <c r="CC23" s="22">
        <v>1910</v>
      </c>
      <c r="CD23" s="22">
        <v>573</v>
      </c>
      <c r="CE23" s="23">
        <v>2483</v>
      </c>
      <c r="CF23" s="6"/>
      <c r="CG23" s="24">
        <v>756</v>
      </c>
      <c r="CH23" s="22">
        <v>756</v>
      </c>
      <c r="CI23" s="22">
        <v>1512</v>
      </c>
      <c r="CJ23" s="22">
        <v>755</v>
      </c>
      <c r="CK23" s="22">
        <v>2267</v>
      </c>
      <c r="CL23" s="22">
        <v>710</v>
      </c>
      <c r="CM23" s="23">
        <v>2977</v>
      </c>
      <c r="CN23" s="30"/>
      <c r="CO23" s="24">
        <v>743</v>
      </c>
      <c r="CP23" s="22">
        <v>743</v>
      </c>
      <c r="CQ23" s="22">
        <v>1486</v>
      </c>
      <c r="CR23" s="22">
        <v>743</v>
      </c>
      <c r="CS23" s="22">
        <v>2229</v>
      </c>
      <c r="CT23" s="22">
        <v>743</v>
      </c>
      <c r="CU23" s="23">
        <v>2972</v>
      </c>
      <c r="CV23" s="30"/>
      <c r="CW23" s="24">
        <v>778</v>
      </c>
      <c r="CX23" s="22">
        <v>772</v>
      </c>
      <c r="CY23" s="22">
        <v>1550</v>
      </c>
      <c r="CZ23" s="22">
        <v>743</v>
      </c>
      <c r="DA23" s="22">
        <v>2293</v>
      </c>
      <c r="DB23" s="22">
        <v>744</v>
      </c>
      <c r="DC23" s="23">
        <v>3037</v>
      </c>
      <c r="DD23" s="30"/>
      <c r="DE23" s="24">
        <v>429</v>
      </c>
      <c r="DF23" s="22">
        <v>429</v>
      </c>
      <c r="DG23" s="22">
        <v>858</v>
      </c>
      <c r="DH23" s="22">
        <v>429</v>
      </c>
      <c r="DI23" s="22">
        <v>1287</v>
      </c>
      <c r="DJ23" s="22">
        <v>541</v>
      </c>
      <c r="DK23" s="23">
        <v>1828</v>
      </c>
      <c r="DL23" s="30"/>
      <c r="DM23" s="24">
        <v>0</v>
      </c>
      <c r="DN23" s="22">
        <v>0</v>
      </c>
      <c r="DO23" s="22">
        <v>0</v>
      </c>
      <c r="DP23" s="22">
        <v>71</v>
      </c>
      <c r="DQ23" s="22">
        <v>71</v>
      </c>
      <c r="DR23" s="22">
        <v>429</v>
      </c>
      <c r="DS23" s="23">
        <v>500</v>
      </c>
    </row>
    <row r="24" spans="1:123" s="163" customFormat="1" ht="15" customHeight="1" outlineLevel="1" x14ac:dyDescent="0.4">
      <c r="A24" s="4" t="s">
        <v>234</v>
      </c>
      <c r="B24" s="5" t="s">
        <v>16</v>
      </c>
      <c r="C24" s="17"/>
      <c r="D24" s="17"/>
      <c r="E24" s="570">
        <v>0</v>
      </c>
      <c r="F24" s="409">
        <v>0</v>
      </c>
      <c r="G24" s="409">
        <v>0</v>
      </c>
      <c r="H24" s="409">
        <v>0</v>
      </c>
      <c r="I24" s="409">
        <v>0</v>
      </c>
      <c r="J24" s="409"/>
      <c r="K24" s="162"/>
      <c r="L24" s="604"/>
      <c r="M24" s="570">
        <v>0</v>
      </c>
      <c r="N24" s="409">
        <f t="shared" si="0"/>
        <v>0</v>
      </c>
      <c r="O24" s="409">
        <v>0</v>
      </c>
      <c r="P24" s="409">
        <f t="shared" si="0"/>
        <v>0</v>
      </c>
      <c r="Q24" s="428">
        <v>0</v>
      </c>
      <c r="R24" s="409">
        <f t="shared" si="0"/>
        <v>0</v>
      </c>
      <c r="S24" s="162">
        <v>0</v>
      </c>
      <c r="T24" s="483"/>
      <c r="U24" s="160">
        <v>0</v>
      </c>
      <c r="V24" s="409">
        <f t="shared" si="1"/>
        <v>0</v>
      </c>
      <c r="W24" s="409">
        <v>0</v>
      </c>
      <c r="X24" s="409">
        <f t="shared" si="2"/>
        <v>0</v>
      </c>
      <c r="Y24" s="409">
        <v>0</v>
      </c>
      <c r="Z24" s="409">
        <f>AA24-Y24</f>
        <v>20552</v>
      </c>
      <c r="AA24" s="162">
        <v>20552</v>
      </c>
      <c r="AB24" s="17"/>
      <c r="AC24" s="160">
        <v>0</v>
      </c>
      <c r="AD24" s="409">
        <v>0</v>
      </c>
      <c r="AE24" s="409">
        <v>0</v>
      </c>
      <c r="AF24" s="409">
        <v>0</v>
      </c>
      <c r="AG24" s="409">
        <v>0</v>
      </c>
      <c r="AH24" s="409">
        <f t="shared" si="4"/>
        <v>0</v>
      </c>
      <c r="AI24" s="162">
        <v>0</v>
      </c>
      <c r="AJ24" s="17"/>
      <c r="AK24" s="160">
        <v>0</v>
      </c>
      <c r="AL24" s="409">
        <v>0</v>
      </c>
      <c r="AM24" s="409">
        <v>0</v>
      </c>
      <c r="AN24" s="409">
        <v>0</v>
      </c>
      <c r="AO24" s="409">
        <v>0</v>
      </c>
      <c r="AP24" s="409">
        <v>0</v>
      </c>
      <c r="AQ24" s="162">
        <v>0</v>
      </c>
      <c r="AR24" s="17"/>
      <c r="AS24" s="160">
        <v>0</v>
      </c>
      <c r="AT24" s="161">
        <v>0</v>
      </c>
      <c r="AU24" s="161">
        <v>0</v>
      </c>
      <c r="AV24" s="161">
        <v>0</v>
      </c>
      <c r="AW24" s="161">
        <v>0</v>
      </c>
      <c r="AX24" s="161">
        <v>0</v>
      </c>
      <c r="AY24" s="162">
        <v>0</v>
      </c>
      <c r="AZ24" s="17"/>
      <c r="BA24" s="160">
        <v>0</v>
      </c>
      <c r="BB24" s="161">
        <v>0</v>
      </c>
      <c r="BC24" s="161">
        <v>0</v>
      </c>
      <c r="BD24" s="161">
        <v>0</v>
      </c>
      <c r="BE24" s="161">
        <v>0</v>
      </c>
      <c r="BF24" s="161">
        <v>0</v>
      </c>
      <c r="BG24" s="162">
        <v>0</v>
      </c>
      <c r="BH24" s="17"/>
      <c r="BI24" s="160">
        <v>0</v>
      </c>
      <c r="BJ24" s="161">
        <v>0</v>
      </c>
      <c r="BK24" s="161">
        <v>0</v>
      </c>
      <c r="BL24" s="161">
        <v>0</v>
      </c>
      <c r="BM24" s="161">
        <v>0</v>
      </c>
      <c r="BN24" s="161">
        <v>0</v>
      </c>
      <c r="BO24" s="162">
        <v>0</v>
      </c>
      <c r="BP24" s="17"/>
      <c r="BQ24" s="160">
        <v>0</v>
      </c>
      <c r="BR24" s="161">
        <v>6663</v>
      </c>
      <c r="BS24" s="161">
        <v>6663</v>
      </c>
      <c r="BT24" s="161">
        <v>551</v>
      </c>
      <c r="BU24" s="161">
        <v>7214</v>
      </c>
      <c r="BV24" s="161">
        <v>-1315</v>
      </c>
      <c r="BW24" s="162">
        <v>5899</v>
      </c>
      <c r="BX24" s="35"/>
      <c r="BY24" s="160">
        <v>0</v>
      </c>
      <c r="BZ24" s="161">
        <v>0</v>
      </c>
      <c r="CA24" s="161">
        <v>0</v>
      </c>
      <c r="CB24" s="161">
        <v>0</v>
      </c>
      <c r="CC24" s="161">
        <v>0</v>
      </c>
      <c r="CD24" s="161">
        <v>0</v>
      </c>
      <c r="CE24" s="162">
        <v>0</v>
      </c>
      <c r="CF24" s="35"/>
      <c r="CG24" s="160">
        <v>0</v>
      </c>
      <c r="CH24" s="161">
        <v>0</v>
      </c>
      <c r="CI24" s="161">
        <v>0</v>
      </c>
      <c r="CJ24" s="161">
        <v>0</v>
      </c>
      <c r="CK24" s="161">
        <v>0</v>
      </c>
      <c r="CL24" s="161">
        <v>0</v>
      </c>
      <c r="CM24" s="162">
        <v>0</v>
      </c>
      <c r="CN24" s="164"/>
      <c r="CO24" s="160">
        <v>0</v>
      </c>
      <c r="CP24" s="161">
        <v>0</v>
      </c>
      <c r="CQ24" s="161">
        <v>0</v>
      </c>
      <c r="CR24" s="161">
        <v>0</v>
      </c>
      <c r="CS24" s="161">
        <v>0</v>
      </c>
      <c r="CT24" s="161">
        <v>0</v>
      </c>
      <c r="CU24" s="162">
        <v>0</v>
      </c>
      <c r="CV24" s="164"/>
      <c r="CW24" s="160">
        <v>0</v>
      </c>
      <c r="CX24" s="161">
        <v>0</v>
      </c>
      <c r="CY24" s="161">
        <v>0</v>
      </c>
      <c r="CZ24" s="161">
        <v>0</v>
      </c>
      <c r="DA24" s="161">
        <v>0</v>
      </c>
      <c r="DB24" s="161">
        <v>0</v>
      </c>
      <c r="DC24" s="162">
        <v>0</v>
      </c>
      <c r="DD24" s="164"/>
      <c r="DE24" s="160">
        <v>0</v>
      </c>
      <c r="DF24" s="161">
        <v>0</v>
      </c>
      <c r="DG24" s="161">
        <v>0</v>
      </c>
      <c r="DH24" s="161">
        <v>0</v>
      </c>
      <c r="DI24" s="161">
        <v>0</v>
      </c>
      <c r="DJ24" s="161">
        <v>0</v>
      </c>
      <c r="DK24" s="162">
        <v>0</v>
      </c>
      <c r="DL24" s="164"/>
      <c r="DM24" s="160">
        <v>0</v>
      </c>
      <c r="DN24" s="161">
        <v>0</v>
      </c>
      <c r="DO24" s="161">
        <v>0</v>
      </c>
      <c r="DP24" s="161">
        <v>0</v>
      </c>
      <c r="DQ24" s="161">
        <v>0</v>
      </c>
      <c r="DR24" s="161">
        <v>0</v>
      </c>
      <c r="DS24" s="162">
        <v>0</v>
      </c>
    </row>
    <row r="25" spans="1:123" s="14" customFormat="1" x14ac:dyDescent="0.25">
      <c r="A25" s="4" t="s">
        <v>214</v>
      </c>
      <c r="B25" s="16" t="s">
        <v>17</v>
      </c>
      <c r="C25" s="17"/>
      <c r="D25" s="17"/>
      <c r="E25" s="25">
        <f>E20-SUM(E21:E24)</f>
        <v>-998</v>
      </c>
      <c r="F25" s="406">
        <f>F20-SUM(F21:F24)</f>
        <v>2562</v>
      </c>
      <c r="G25" s="406">
        <f>G20-SUM(G21:G24)</f>
        <v>1564</v>
      </c>
      <c r="H25" s="406">
        <f>H20-SUM(H21:H24)</f>
        <v>-935</v>
      </c>
      <c r="I25" s="406">
        <f>I20-SUM(I21:I24)</f>
        <v>629</v>
      </c>
      <c r="J25" s="406"/>
      <c r="K25" s="21"/>
      <c r="L25" s="604"/>
      <c r="M25" s="567">
        <v>388</v>
      </c>
      <c r="N25" s="406">
        <f t="shared" si="0"/>
        <v>2526</v>
      </c>
      <c r="O25" s="406">
        <v>2914</v>
      </c>
      <c r="P25" s="406">
        <f t="shared" si="0"/>
        <v>1288</v>
      </c>
      <c r="Q25" s="423">
        <v>4202</v>
      </c>
      <c r="R25" s="406">
        <f t="shared" si="0"/>
        <v>617.98300000000017</v>
      </c>
      <c r="S25" s="21">
        <v>4819.9830000000002</v>
      </c>
      <c r="T25" s="483"/>
      <c r="U25" s="25">
        <v>-276</v>
      </c>
      <c r="V25" s="406">
        <f t="shared" si="1"/>
        <v>3549</v>
      </c>
      <c r="W25" s="406">
        <v>3273</v>
      </c>
      <c r="X25" s="406">
        <f t="shared" si="2"/>
        <v>593</v>
      </c>
      <c r="Y25" s="406">
        <v>3866</v>
      </c>
      <c r="Z25" s="406">
        <f t="shared" si="3"/>
        <v>-20680</v>
      </c>
      <c r="AA25" s="21">
        <v>-16814</v>
      </c>
      <c r="AB25" s="17"/>
      <c r="AC25" s="25">
        <v>1964</v>
      </c>
      <c r="AD25" s="406">
        <v>3754</v>
      </c>
      <c r="AE25" s="406">
        <v>5718</v>
      </c>
      <c r="AF25" s="406">
        <v>246</v>
      </c>
      <c r="AG25" s="406">
        <v>5964</v>
      </c>
      <c r="AH25" s="406">
        <f t="shared" si="4"/>
        <v>3123</v>
      </c>
      <c r="AI25" s="21">
        <v>9087</v>
      </c>
      <c r="AJ25" s="17"/>
      <c r="AK25" s="25">
        <v>1554</v>
      </c>
      <c r="AL25" s="406">
        <v>2026</v>
      </c>
      <c r="AM25" s="406">
        <v>3580</v>
      </c>
      <c r="AN25" s="406">
        <v>2363</v>
      </c>
      <c r="AO25" s="406">
        <v>5943</v>
      </c>
      <c r="AP25" s="406">
        <v>-749</v>
      </c>
      <c r="AQ25" s="21">
        <v>5194</v>
      </c>
      <c r="AR25" s="17"/>
      <c r="AS25" s="25">
        <v>3136</v>
      </c>
      <c r="AT25" s="20">
        <v>2795</v>
      </c>
      <c r="AU25" s="20">
        <v>5931</v>
      </c>
      <c r="AV25" s="20">
        <v>3220</v>
      </c>
      <c r="AW25" s="20">
        <v>9151</v>
      </c>
      <c r="AX25" s="20">
        <v>1253</v>
      </c>
      <c r="AY25" s="21">
        <v>10404</v>
      </c>
      <c r="AZ25" s="17"/>
      <c r="BA25" s="25">
        <v>2340</v>
      </c>
      <c r="BB25" s="20">
        <v>3575</v>
      </c>
      <c r="BC25" s="20">
        <v>5915</v>
      </c>
      <c r="BD25" s="20">
        <v>4191</v>
      </c>
      <c r="BE25" s="20">
        <v>10106</v>
      </c>
      <c r="BF25" s="20">
        <v>1416</v>
      </c>
      <c r="BG25" s="21">
        <v>11522</v>
      </c>
      <c r="BH25" s="17"/>
      <c r="BI25" s="25">
        <v>5200</v>
      </c>
      <c r="BJ25" s="20">
        <v>3644</v>
      </c>
      <c r="BK25" s="20">
        <v>8844</v>
      </c>
      <c r="BL25" s="20">
        <v>5884</v>
      </c>
      <c r="BM25" s="20">
        <v>14728</v>
      </c>
      <c r="BN25" s="20">
        <v>9774</v>
      </c>
      <c r="BO25" s="21">
        <v>24502</v>
      </c>
      <c r="BP25" s="17"/>
      <c r="BQ25" s="25">
        <v>4090</v>
      </c>
      <c r="BR25" s="20">
        <v>342</v>
      </c>
      <c r="BS25" s="20">
        <v>4432</v>
      </c>
      <c r="BT25" s="20">
        <v>4668</v>
      </c>
      <c r="BU25" s="20">
        <v>9100</v>
      </c>
      <c r="BV25" s="20">
        <v>8051</v>
      </c>
      <c r="BW25" s="21">
        <v>17151</v>
      </c>
      <c r="BX25" s="12"/>
      <c r="BY25" s="25">
        <v>5406</v>
      </c>
      <c r="BZ25" s="20">
        <v>5641</v>
      </c>
      <c r="CA25" s="20">
        <v>11047</v>
      </c>
      <c r="CB25" s="20">
        <v>5717</v>
      </c>
      <c r="CC25" s="20">
        <v>16764</v>
      </c>
      <c r="CD25" s="20">
        <v>5393</v>
      </c>
      <c r="CE25" s="21">
        <v>22157</v>
      </c>
      <c r="CF25" s="12"/>
      <c r="CG25" s="25">
        <v>4330</v>
      </c>
      <c r="CH25" s="20">
        <v>4228</v>
      </c>
      <c r="CI25" s="20">
        <v>8558</v>
      </c>
      <c r="CJ25" s="20">
        <v>4881</v>
      </c>
      <c r="CK25" s="20">
        <v>13439</v>
      </c>
      <c r="CL25" s="20">
        <v>4708</v>
      </c>
      <c r="CM25" s="21">
        <v>18147</v>
      </c>
      <c r="CN25" s="26"/>
      <c r="CO25" s="25">
        <v>2714</v>
      </c>
      <c r="CP25" s="20">
        <v>3250</v>
      </c>
      <c r="CQ25" s="20">
        <v>5964</v>
      </c>
      <c r="CR25" s="20">
        <v>3051</v>
      </c>
      <c r="CS25" s="20">
        <v>9015</v>
      </c>
      <c r="CT25" s="20">
        <v>3600</v>
      </c>
      <c r="CU25" s="21">
        <v>12615</v>
      </c>
      <c r="CV25" s="26"/>
      <c r="CW25" s="25">
        <v>1649</v>
      </c>
      <c r="CX25" s="20">
        <v>2016</v>
      </c>
      <c r="CY25" s="20">
        <v>3665</v>
      </c>
      <c r="CZ25" s="20">
        <v>4240</v>
      </c>
      <c r="DA25" s="20">
        <v>7905</v>
      </c>
      <c r="DB25" s="20">
        <v>3023</v>
      </c>
      <c r="DC25" s="21">
        <v>10928</v>
      </c>
      <c r="DD25" s="26"/>
      <c r="DE25" s="25">
        <v>2384</v>
      </c>
      <c r="DF25" s="20">
        <v>2201</v>
      </c>
      <c r="DG25" s="20">
        <v>4585</v>
      </c>
      <c r="DH25" s="20">
        <v>2547</v>
      </c>
      <c r="DI25" s="20">
        <v>7132</v>
      </c>
      <c r="DJ25" s="20">
        <v>724</v>
      </c>
      <c r="DK25" s="21">
        <v>7856</v>
      </c>
      <c r="DL25" s="26"/>
      <c r="DM25" s="25">
        <v>0</v>
      </c>
      <c r="DN25" s="20">
        <v>0</v>
      </c>
      <c r="DO25" s="20">
        <v>0</v>
      </c>
      <c r="DP25" s="20">
        <v>-2007</v>
      </c>
      <c r="DQ25" s="20">
        <v>-2007</v>
      </c>
      <c r="DR25" s="20">
        <v>-381</v>
      </c>
      <c r="DS25" s="21">
        <v>-2388</v>
      </c>
    </row>
    <row r="26" spans="1:123" ht="15" customHeight="1" outlineLevel="1" x14ac:dyDescent="0.25">
      <c r="A26" s="4" t="s">
        <v>217</v>
      </c>
      <c r="B26" s="5" t="s">
        <v>18</v>
      </c>
      <c r="C26" s="17"/>
      <c r="D26" s="17"/>
      <c r="E26" s="569">
        <v>20</v>
      </c>
      <c r="F26" s="408">
        <v>25</v>
      </c>
      <c r="G26" s="408">
        <v>44</v>
      </c>
      <c r="H26" s="408">
        <v>42</v>
      </c>
      <c r="I26" s="408">
        <v>86</v>
      </c>
      <c r="J26" s="408"/>
      <c r="K26" s="29"/>
      <c r="L26" s="604"/>
      <c r="M26" s="569">
        <v>25</v>
      </c>
      <c r="N26" s="408">
        <f t="shared" si="0"/>
        <v>54</v>
      </c>
      <c r="O26" s="408">
        <v>79</v>
      </c>
      <c r="P26" s="408">
        <f t="shared" si="0"/>
        <v>25</v>
      </c>
      <c r="Q26" s="424">
        <v>104</v>
      </c>
      <c r="R26" s="408">
        <f t="shared" si="0"/>
        <v>31.496000000000009</v>
      </c>
      <c r="S26" s="29">
        <v>135.49600000000001</v>
      </c>
      <c r="T26" s="483"/>
      <c r="U26" s="27">
        <v>16</v>
      </c>
      <c r="V26" s="408">
        <f t="shared" si="1"/>
        <v>25</v>
      </c>
      <c r="W26" s="408">
        <v>41</v>
      </c>
      <c r="X26" s="408">
        <f t="shared" si="2"/>
        <v>25</v>
      </c>
      <c r="Y26" s="408">
        <v>66</v>
      </c>
      <c r="Z26" s="408">
        <f t="shared" si="3"/>
        <v>22</v>
      </c>
      <c r="AA26" s="29">
        <v>88</v>
      </c>
      <c r="AB26" s="17"/>
      <c r="AC26" s="27">
        <v>8</v>
      </c>
      <c r="AD26" s="408">
        <v>7</v>
      </c>
      <c r="AE26" s="408">
        <v>15</v>
      </c>
      <c r="AF26" s="408">
        <v>7</v>
      </c>
      <c r="AG26" s="408">
        <v>22</v>
      </c>
      <c r="AH26" s="408">
        <f t="shared" si="4"/>
        <v>8</v>
      </c>
      <c r="AI26" s="29">
        <v>30</v>
      </c>
      <c r="AJ26" s="17"/>
      <c r="AK26" s="27">
        <v>8</v>
      </c>
      <c r="AL26" s="408">
        <v>6</v>
      </c>
      <c r="AM26" s="408">
        <v>14</v>
      </c>
      <c r="AN26" s="408">
        <v>9</v>
      </c>
      <c r="AO26" s="408">
        <v>23</v>
      </c>
      <c r="AP26" s="408">
        <v>8</v>
      </c>
      <c r="AQ26" s="29">
        <v>31</v>
      </c>
      <c r="AR26" s="17"/>
      <c r="AS26" s="27">
        <v>7</v>
      </c>
      <c r="AT26" s="28">
        <v>4</v>
      </c>
      <c r="AU26" s="28">
        <v>11</v>
      </c>
      <c r="AV26" s="28">
        <v>1</v>
      </c>
      <c r="AW26" s="28">
        <v>12</v>
      </c>
      <c r="AX26" s="28">
        <v>7</v>
      </c>
      <c r="AY26" s="29">
        <v>19</v>
      </c>
      <c r="AZ26" s="17"/>
      <c r="BA26" s="27">
        <v>88</v>
      </c>
      <c r="BB26" s="28">
        <v>48</v>
      </c>
      <c r="BC26" s="28">
        <v>136</v>
      </c>
      <c r="BD26" s="28">
        <v>61</v>
      </c>
      <c r="BE26" s="28">
        <v>197</v>
      </c>
      <c r="BF26" s="28">
        <v>79</v>
      </c>
      <c r="BG26" s="29">
        <v>276</v>
      </c>
      <c r="BH26" s="17"/>
      <c r="BI26" s="27">
        <v>632</v>
      </c>
      <c r="BJ26" s="28">
        <v>53</v>
      </c>
      <c r="BK26" s="28">
        <v>685</v>
      </c>
      <c r="BL26" s="28">
        <v>110</v>
      </c>
      <c r="BM26" s="28">
        <v>795</v>
      </c>
      <c r="BN26" s="28">
        <v>126</v>
      </c>
      <c r="BO26" s="29">
        <v>921</v>
      </c>
      <c r="BP26" s="17"/>
      <c r="BQ26" s="27">
        <v>75</v>
      </c>
      <c r="BR26" s="28">
        <v>88</v>
      </c>
      <c r="BS26" s="28">
        <v>163</v>
      </c>
      <c r="BT26" s="28">
        <v>98</v>
      </c>
      <c r="BU26" s="28">
        <v>261</v>
      </c>
      <c r="BV26" s="28">
        <v>1400</v>
      </c>
      <c r="BW26" s="29">
        <v>1661</v>
      </c>
      <c r="BX26" s="6"/>
      <c r="BY26" s="27">
        <v>79</v>
      </c>
      <c r="BZ26" s="28">
        <v>81</v>
      </c>
      <c r="CA26" s="28">
        <v>160</v>
      </c>
      <c r="CB26" s="28">
        <v>-259</v>
      </c>
      <c r="CC26" s="28">
        <v>-99</v>
      </c>
      <c r="CD26" s="28">
        <v>82</v>
      </c>
      <c r="CE26" s="29">
        <v>-17</v>
      </c>
      <c r="CF26" s="6"/>
      <c r="CG26" s="27">
        <v>41</v>
      </c>
      <c r="CH26" s="28">
        <v>48</v>
      </c>
      <c r="CI26" s="22">
        <v>89</v>
      </c>
      <c r="CJ26" s="28">
        <v>54</v>
      </c>
      <c r="CK26" s="22">
        <v>143</v>
      </c>
      <c r="CL26" s="28">
        <v>168</v>
      </c>
      <c r="CM26" s="23">
        <v>311</v>
      </c>
      <c r="CN26" s="30"/>
      <c r="CO26" s="27">
        <v>97</v>
      </c>
      <c r="CP26" s="28">
        <v>77</v>
      </c>
      <c r="CQ26" s="22">
        <v>174</v>
      </c>
      <c r="CR26" s="28">
        <v>70</v>
      </c>
      <c r="CS26" s="22">
        <v>244</v>
      </c>
      <c r="CT26" s="28">
        <v>73</v>
      </c>
      <c r="CU26" s="23">
        <v>317</v>
      </c>
      <c r="CV26" s="30"/>
      <c r="CW26" s="27">
        <v>106</v>
      </c>
      <c r="CX26" s="28">
        <v>80</v>
      </c>
      <c r="CY26" s="22">
        <v>186</v>
      </c>
      <c r="CZ26" s="28">
        <v>83</v>
      </c>
      <c r="DA26" s="22">
        <v>269</v>
      </c>
      <c r="DB26" s="28">
        <v>75</v>
      </c>
      <c r="DC26" s="23">
        <v>344</v>
      </c>
      <c r="DD26" s="30"/>
      <c r="DE26" s="27">
        <v>78</v>
      </c>
      <c r="DF26" s="28">
        <v>46</v>
      </c>
      <c r="DG26" s="22">
        <v>124</v>
      </c>
      <c r="DH26" s="28">
        <v>55</v>
      </c>
      <c r="DI26" s="22">
        <v>179</v>
      </c>
      <c r="DJ26" s="28">
        <v>63</v>
      </c>
      <c r="DK26" s="23">
        <v>242</v>
      </c>
      <c r="DL26" s="30"/>
      <c r="DM26" s="27">
        <v>0</v>
      </c>
      <c r="DN26" s="28">
        <v>0</v>
      </c>
      <c r="DO26" s="22">
        <v>0</v>
      </c>
      <c r="DP26" s="28">
        <v>-4</v>
      </c>
      <c r="DQ26" s="22">
        <v>-4</v>
      </c>
      <c r="DR26" s="28">
        <v>66</v>
      </c>
      <c r="DS26" s="23">
        <v>62</v>
      </c>
    </row>
    <row r="27" spans="1:123" ht="15" customHeight="1" outlineLevel="1" x14ac:dyDescent="0.25">
      <c r="A27" s="4" t="s">
        <v>215</v>
      </c>
      <c r="B27" s="5" t="s">
        <v>19</v>
      </c>
      <c r="C27" s="17"/>
      <c r="D27" s="17"/>
      <c r="E27" s="569">
        <v>0</v>
      </c>
      <c r="F27" s="408">
        <v>0</v>
      </c>
      <c r="G27" s="408">
        <v>0</v>
      </c>
      <c r="H27" s="408">
        <v>0</v>
      </c>
      <c r="I27" s="408">
        <v>0</v>
      </c>
      <c r="J27" s="408"/>
      <c r="K27" s="29"/>
      <c r="L27" s="604"/>
      <c r="M27" s="569">
        <v>0</v>
      </c>
      <c r="N27" s="408">
        <f t="shared" si="0"/>
        <v>0</v>
      </c>
      <c r="O27" s="408">
        <v>0</v>
      </c>
      <c r="P27" s="408">
        <f t="shared" si="0"/>
        <v>0</v>
      </c>
      <c r="Q27" s="424">
        <v>0</v>
      </c>
      <c r="R27" s="408">
        <f t="shared" si="0"/>
        <v>-1</v>
      </c>
      <c r="S27" s="29">
        <v>-1</v>
      </c>
      <c r="T27" s="483"/>
      <c r="U27" s="27">
        <v>1</v>
      </c>
      <c r="V27" s="408">
        <f t="shared" si="1"/>
        <v>1</v>
      </c>
      <c r="W27" s="408">
        <v>2</v>
      </c>
      <c r="X27" s="408">
        <f t="shared" si="2"/>
        <v>0</v>
      </c>
      <c r="Y27" s="408">
        <v>2</v>
      </c>
      <c r="Z27" s="408">
        <f t="shared" si="3"/>
        <v>13</v>
      </c>
      <c r="AA27" s="29">
        <f>10+5</f>
        <v>15</v>
      </c>
      <c r="AB27" s="17"/>
      <c r="AC27" s="27">
        <v>0</v>
      </c>
      <c r="AD27" s="408">
        <v>0</v>
      </c>
      <c r="AE27" s="408">
        <v>0</v>
      </c>
      <c r="AF27" s="408">
        <v>0</v>
      </c>
      <c r="AG27" s="408">
        <v>0</v>
      </c>
      <c r="AH27" s="408">
        <f t="shared" si="4"/>
        <v>0</v>
      </c>
      <c r="AI27" s="29">
        <v>0</v>
      </c>
      <c r="AJ27" s="17"/>
      <c r="AK27" s="27">
        <v>0</v>
      </c>
      <c r="AL27" s="408">
        <v>0</v>
      </c>
      <c r="AM27" s="408">
        <v>0</v>
      </c>
      <c r="AN27" s="408">
        <v>0</v>
      </c>
      <c r="AO27" s="408">
        <v>0</v>
      </c>
      <c r="AP27" s="408">
        <v>0</v>
      </c>
      <c r="AQ27" s="29">
        <v>0</v>
      </c>
      <c r="AR27" s="17"/>
      <c r="AS27" s="27">
        <v>0</v>
      </c>
      <c r="AT27" s="28">
        <v>0</v>
      </c>
      <c r="AU27" s="28">
        <v>0</v>
      </c>
      <c r="AV27" s="28">
        <v>0</v>
      </c>
      <c r="AW27" s="28">
        <v>0</v>
      </c>
      <c r="AX27" s="28">
        <v>17</v>
      </c>
      <c r="AY27" s="29">
        <v>17</v>
      </c>
      <c r="AZ27" s="17"/>
      <c r="BA27" s="27">
        <v>0</v>
      </c>
      <c r="BB27" s="28">
        <v>1</v>
      </c>
      <c r="BC27" s="28">
        <v>1</v>
      </c>
      <c r="BD27" s="28">
        <v>0</v>
      </c>
      <c r="BE27" s="28">
        <v>1</v>
      </c>
      <c r="BF27" s="28">
        <v>0</v>
      </c>
      <c r="BG27" s="29">
        <v>1</v>
      </c>
      <c r="BH27" s="17"/>
      <c r="BI27" s="27">
        <v>0</v>
      </c>
      <c r="BJ27" s="28">
        <v>0</v>
      </c>
      <c r="BK27" s="28">
        <v>0</v>
      </c>
      <c r="BL27" s="28">
        <v>0</v>
      </c>
      <c r="BM27" s="28">
        <v>0</v>
      </c>
      <c r="BN27" s="28">
        <v>0</v>
      </c>
      <c r="BO27" s="29">
        <v>0</v>
      </c>
      <c r="BP27" s="17"/>
      <c r="BQ27" s="27">
        <v>0</v>
      </c>
      <c r="BR27" s="28">
        <v>0</v>
      </c>
      <c r="BS27" s="28">
        <v>0</v>
      </c>
      <c r="BT27" s="28">
        <v>0</v>
      </c>
      <c r="BU27" s="28">
        <v>0</v>
      </c>
      <c r="BV27" s="28">
        <v>0</v>
      </c>
      <c r="BW27" s="29">
        <v>0</v>
      </c>
      <c r="BX27" s="6"/>
      <c r="BY27" s="27">
        <v>0</v>
      </c>
      <c r="BZ27" s="28">
        <v>0</v>
      </c>
      <c r="CA27" s="28">
        <v>0</v>
      </c>
      <c r="CB27" s="28">
        <v>0</v>
      </c>
      <c r="CC27" s="28">
        <v>0</v>
      </c>
      <c r="CD27" s="28">
        <v>0</v>
      </c>
      <c r="CE27" s="29">
        <v>0</v>
      </c>
      <c r="CF27" s="6"/>
      <c r="CG27" s="27">
        <v>7</v>
      </c>
      <c r="CH27" s="28">
        <v>1</v>
      </c>
      <c r="CI27" s="22">
        <v>8</v>
      </c>
      <c r="CJ27" s="28">
        <v>1</v>
      </c>
      <c r="CK27" s="22">
        <v>9</v>
      </c>
      <c r="CL27" s="28">
        <v>16</v>
      </c>
      <c r="CM27" s="23">
        <v>25</v>
      </c>
      <c r="CN27" s="30"/>
      <c r="CO27" s="27">
        <v>2</v>
      </c>
      <c r="CP27" s="28">
        <v>0</v>
      </c>
      <c r="CQ27" s="22">
        <v>2</v>
      </c>
      <c r="CR27" s="28">
        <v>0</v>
      </c>
      <c r="CS27" s="22">
        <v>2</v>
      </c>
      <c r="CT27" s="28">
        <v>0</v>
      </c>
      <c r="CU27" s="23">
        <v>2</v>
      </c>
      <c r="CV27" s="30"/>
      <c r="CW27" s="27">
        <v>19</v>
      </c>
      <c r="CX27" s="28">
        <v>6</v>
      </c>
      <c r="CY27" s="22">
        <v>25</v>
      </c>
      <c r="CZ27" s="28">
        <v>0</v>
      </c>
      <c r="DA27" s="22">
        <v>25</v>
      </c>
      <c r="DB27" s="28">
        <v>0</v>
      </c>
      <c r="DC27" s="23">
        <v>25</v>
      </c>
      <c r="DD27" s="30"/>
      <c r="DE27" s="27">
        <v>12</v>
      </c>
      <c r="DF27" s="28">
        <v>16</v>
      </c>
      <c r="DG27" s="22">
        <v>28</v>
      </c>
      <c r="DH27" s="28">
        <v>16</v>
      </c>
      <c r="DI27" s="22">
        <v>44</v>
      </c>
      <c r="DJ27" s="28">
        <v>17</v>
      </c>
      <c r="DK27" s="23">
        <v>61</v>
      </c>
      <c r="DL27" s="30"/>
      <c r="DM27" s="27">
        <v>0</v>
      </c>
      <c r="DN27" s="28">
        <v>0</v>
      </c>
      <c r="DO27" s="22">
        <v>0</v>
      </c>
      <c r="DP27" s="28">
        <v>1</v>
      </c>
      <c r="DQ27" s="22">
        <v>1</v>
      </c>
      <c r="DR27" s="28">
        <v>11</v>
      </c>
      <c r="DS27" s="23">
        <v>12</v>
      </c>
    </row>
    <row r="28" spans="1:123" ht="15" customHeight="1" outlineLevel="1" x14ac:dyDescent="0.25">
      <c r="A28" s="4" t="s">
        <v>216</v>
      </c>
      <c r="B28" s="5" t="s">
        <v>20</v>
      </c>
      <c r="C28" s="17"/>
      <c r="D28" s="17"/>
      <c r="E28" s="569">
        <v>2123</v>
      </c>
      <c r="F28" s="408">
        <v>2125</v>
      </c>
      <c r="G28" s="408">
        <v>4248</v>
      </c>
      <c r="H28" s="408">
        <v>2116</v>
      </c>
      <c r="I28" s="408">
        <v>6364</v>
      </c>
      <c r="J28" s="408"/>
      <c r="K28" s="29"/>
      <c r="L28" s="604"/>
      <c r="M28" s="569">
        <v>2149</v>
      </c>
      <c r="N28" s="408">
        <f t="shared" si="0"/>
        <v>2191</v>
      </c>
      <c r="O28" s="408">
        <v>4340</v>
      </c>
      <c r="P28" s="408">
        <f t="shared" si="0"/>
        <v>2144</v>
      </c>
      <c r="Q28" s="424">
        <v>6484</v>
      </c>
      <c r="R28" s="408">
        <f t="shared" si="0"/>
        <v>2111.1229999999996</v>
      </c>
      <c r="S28" s="29">
        <v>8595.1229999999996</v>
      </c>
      <c r="T28" s="483"/>
      <c r="U28" s="27">
        <v>787</v>
      </c>
      <c r="V28" s="408">
        <f t="shared" si="1"/>
        <v>1476</v>
      </c>
      <c r="W28" s="408">
        <v>2263</v>
      </c>
      <c r="X28" s="408">
        <f t="shared" si="2"/>
        <v>1737</v>
      </c>
      <c r="Y28" s="408">
        <v>4000</v>
      </c>
      <c r="Z28" s="408">
        <f t="shared" si="3"/>
        <v>2026</v>
      </c>
      <c r="AA28" s="29">
        <v>6026</v>
      </c>
      <c r="AB28" s="17"/>
      <c r="AC28" s="27">
        <v>566</v>
      </c>
      <c r="AD28" s="408">
        <v>507</v>
      </c>
      <c r="AE28" s="408">
        <v>1073</v>
      </c>
      <c r="AF28" s="408">
        <v>441</v>
      </c>
      <c r="AG28" s="408">
        <v>1514</v>
      </c>
      <c r="AH28" s="408">
        <f t="shared" si="4"/>
        <v>446</v>
      </c>
      <c r="AI28" s="29">
        <v>1960</v>
      </c>
      <c r="AJ28" s="17"/>
      <c r="AK28" s="27">
        <v>650</v>
      </c>
      <c r="AL28" s="408">
        <v>602</v>
      </c>
      <c r="AM28" s="408">
        <v>1252</v>
      </c>
      <c r="AN28" s="408">
        <v>566</v>
      </c>
      <c r="AO28" s="408">
        <v>1818</v>
      </c>
      <c r="AP28" s="408">
        <v>587</v>
      </c>
      <c r="AQ28" s="29">
        <v>2405</v>
      </c>
      <c r="AR28" s="17"/>
      <c r="AS28" s="27">
        <v>980</v>
      </c>
      <c r="AT28" s="28">
        <v>888</v>
      </c>
      <c r="AU28" s="28">
        <v>1868</v>
      </c>
      <c r="AV28" s="28">
        <v>772</v>
      </c>
      <c r="AW28" s="28">
        <v>2640</v>
      </c>
      <c r="AX28" s="28">
        <v>685</v>
      </c>
      <c r="AY28" s="29">
        <v>3325</v>
      </c>
      <c r="AZ28" s="17"/>
      <c r="BA28" s="27">
        <v>1316</v>
      </c>
      <c r="BB28" s="28">
        <v>1272</v>
      </c>
      <c r="BC28" s="28">
        <v>2588</v>
      </c>
      <c r="BD28" s="28">
        <v>1073</v>
      </c>
      <c r="BE28" s="28">
        <v>3661</v>
      </c>
      <c r="BF28" s="28">
        <v>1013</v>
      </c>
      <c r="BG28" s="29">
        <v>4674</v>
      </c>
      <c r="BH28" s="17"/>
      <c r="BI28" s="27">
        <v>1635</v>
      </c>
      <c r="BJ28" s="28">
        <v>1549</v>
      </c>
      <c r="BK28" s="28">
        <v>3184</v>
      </c>
      <c r="BL28" s="28">
        <v>1444</v>
      </c>
      <c r="BM28" s="28">
        <v>4628</v>
      </c>
      <c r="BN28" s="28">
        <v>1362</v>
      </c>
      <c r="BO28" s="29">
        <v>5990</v>
      </c>
      <c r="BP28" s="17"/>
      <c r="BQ28" s="27">
        <v>517</v>
      </c>
      <c r="BR28" s="28">
        <v>1088</v>
      </c>
      <c r="BS28" s="28">
        <v>1605</v>
      </c>
      <c r="BT28" s="28">
        <v>1800</v>
      </c>
      <c r="BU28" s="28">
        <v>3405</v>
      </c>
      <c r="BV28" s="28">
        <v>1729</v>
      </c>
      <c r="BW28" s="29">
        <v>5134</v>
      </c>
      <c r="BX28" s="6"/>
      <c r="BY28" s="27">
        <v>1124</v>
      </c>
      <c r="BZ28" s="28">
        <v>1021</v>
      </c>
      <c r="CA28" s="28">
        <v>2145</v>
      </c>
      <c r="CB28" s="28">
        <v>932</v>
      </c>
      <c r="CC28" s="28">
        <v>3077</v>
      </c>
      <c r="CD28" s="28">
        <v>649</v>
      </c>
      <c r="CE28" s="29">
        <v>3726</v>
      </c>
      <c r="CF28" s="6"/>
      <c r="CG28" s="27">
        <v>1283</v>
      </c>
      <c r="CH28" s="28">
        <v>1258</v>
      </c>
      <c r="CI28" s="22">
        <v>2541</v>
      </c>
      <c r="CJ28" s="28">
        <v>1206</v>
      </c>
      <c r="CK28" s="22">
        <v>3747</v>
      </c>
      <c r="CL28" s="28">
        <v>1170</v>
      </c>
      <c r="CM28" s="23">
        <v>4917</v>
      </c>
      <c r="CN28" s="30"/>
      <c r="CO28" s="27">
        <v>1454</v>
      </c>
      <c r="CP28" s="28">
        <v>1437</v>
      </c>
      <c r="CQ28" s="22">
        <v>2891</v>
      </c>
      <c r="CR28" s="28">
        <v>1395</v>
      </c>
      <c r="CS28" s="22">
        <v>4286</v>
      </c>
      <c r="CT28" s="28">
        <v>1350</v>
      </c>
      <c r="CU28" s="23">
        <v>5636</v>
      </c>
      <c r="CV28" s="30"/>
      <c r="CW28" s="27">
        <v>1604</v>
      </c>
      <c r="CX28" s="28">
        <v>1589</v>
      </c>
      <c r="CY28" s="22">
        <v>3193</v>
      </c>
      <c r="CZ28" s="28">
        <v>1572</v>
      </c>
      <c r="DA28" s="22">
        <v>4765</v>
      </c>
      <c r="DB28" s="28">
        <v>1530</v>
      </c>
      <c r="DC28" s="23">
        <v>6295</v>
      </c>
      <c r="DD28" s="30"/>
      <c r="DE28" s="27">
        <v>1186</v>
      </c>
      <c r="DF28" s="28">
        <v>1161</v>
      </c>
      <c r="DG28" s="22">
        <v>2347</v>
      </c>
      <c r="DH28" s="28">
        <v>1147</v>
      </c>
      <c r="DI28" s="22">
        <v>3494</v>
      </c>
      <c r="DJ28" s="28">
        <v>1380</v>
      </c>
      <c r="DK28" s="23">
        <v>4874</v>
      </c>
      <c r="DL28" s="30"/>
      <c r="DM28" s="27">
        <v>0</v>
      </c>
      <c r="DN28" s="28">
        <v>0</v>
      </c>
      <c r="DO28" s="22">
        <v>0</v>
      </c>
      <c r="DP28" s="28">
        <v>200</v>
      </c>
      <c r="DQ28" s="22">
        <v>200</v>
      </c>
      <c r="DR28" s="28">
        <v>1227</v>
      </c>
      <c r="DS28" s="23">
        <v>1427</v>
      </c>
    </row>
    <row r="29" spans="1:123" ht="17.25" customHeight="1" outlineLevel="1" x14ac:dyDescent="0.4">
      <c r="A29" s="4" t="s">
        <v>218</v>
      </c>
      <c r="B29" s="5" t="s">
        <v>21</v>
      </c>
      <c r="C29" s="17"/>
      <c r="D29" s="17"/>
      <c r="E29" s="571">
        <v>-1310</v>
      </c>
      <c r="F29" s="410">
        <v>1689</v>
      </c>
      <c r="G29" s="410">
        <v>380</v>
      </c>
      <c r="H29" s="410">
        <v>136</v>
      </c>
      <c r="I29" s="410">
        <v>516</v>
      </c>
      <c r="J29" s="410"/>
      <c r="K29" s="33"/>
      <c r="L29" s="604"/>
      <c r="M29" s="571">
        <v>-551</v>
      </c>
      <c r="N29" s="410">
        <f t="shared" si="0"/>
        <v>-101</v>
      </c>
      <c r="O29" s="410">
        <v>-652</v>
      </c>
      <c r="P29" s="410">
        <f t="shared" si="0"/>
        <v>-620</v>
      </c>
      <c r="Q29" s="428">
        <v>-1272</v>
      </c>
      <c r="R29" s="410">
        <f t="shared" si="0"/>
        <v>-36.617999999999938</v>
      </c>
      <c r="S29" s="33">
        <v>-1308.6179999999999</v>
      </c>
      <c r="T29" s="483"/>
      <c r="U29" s="31">
        <v>399</v>
      </c>
      <c r="V29" s="410">
        <f t="shared" si="1"/>
        <v>443</v>
      </c>
      <c r="W29" s="410">
        <v>842</v>
      </c>
      <c r="X29" s="410">
        <f t="shared" si="2"/>
        <v>-410</v>
      </c>
      <c r="Y29" s="410">
        <v>432</v>
      </c>
      <c r="Z29" s="410">
        <f t="shared" si="3"/>
        <v>-4706</v>
      </c>
      <c r="AA29" s="33">
        <v>-4274</v>
      </c>
      <c r="AB29" s="17"/>
      <c r="AC29" s="31">
        <v>347</v>
      </c>
      <c r="AD29" s="410">
        <v>681</v>
      </c>
      <c r="AE29" s="410">
        <v>1028</v>
      </c>
      <c r="AF29" s="410">
        <v>329</v>
      </c>
      <c r="AG29" s="410">
        <v>1357</v>
      </c>
      <c r="AH29" s="410">
        <f t="shared" si="4"/>
        <v>661</v>
      </c>
      <c r="AI29" s="33">
        <v>2018</v>
      </c>
      <c r="AJ29" s="17"/>
      <c r="AK29" s="31">
        <v>-7</v>
      </c>
      <c r="AL29" s="410">
        <v>1161</v>
      </c>
      <c r="AM29" s="410">
        <v>1154</v>
      </c>
      <c r="AN29" s="410">
        <v>1111</v>
      </c>
      <c r="AO29" s="410">
        <v>2265</v>
      </c>
      <c r="AP29" s="410">
        <v>-232</v>
      </c>
      <c r="AQ29" s="33">
        <v>2033</v>
      </c>
      <c r="AR29" s="17"/>
      <c r="AS29" s="31">
        <v>626</v>
      </c>
      <c r="AT29" s="32">
        <v>754</v>
      </c>
      <c r="AU29" s="32">
        <v>1380</v>
      </c>
      <c r="AV29" s="32">
        <v>868</v>
      </c>
      <c r="AW29" s="32">
        <v>2248</v>
      </c>
      <c r="AX29" s="32">
        <v>2</v>
      </c>
      <c r="AY29" s="33">
        <v>2250</v>
      </c>
      <c r="AZ29" s="17"/>
      <c r="BA29" s="31">
        <v>262</v>
      </c>
      <c r="BB29" s="32">
        <v>649</v>
      </c>
      <c r="BC29" s="32">
        <v>911</v>
      </c>
      <c r="BD29" s="32">
        <v>786</v>
      </c>
      <c r="BE29" s="32">
        <v>1697</v>
      </c>
      <c r="BF29" s="32">
        <v>-63</v>
      </c>
      <c r="BG29" s="33">
        <v>1634</v>
      </c>
      <c r="BH29" s="17"/>
      <c r="BI29" s="31">
        <v>1139</v>
      </c>
      <c r="BJ29" s="32">
        <v>3066</v>
      </c>
      <c r="BK29" s="32">
        <v>4205</v>
      </c>
      <c r="BL29" s="32">
        <v>-264</v>
      </c>
      <c r="BM29" s="32">
        <v>3941</v>
      </c>
      <c r="BN29" s="32">
        <v>-3024</v>
      </c>
      <c r="BO29" s="33">
        <v>917</v>
      </c>
      <c r="BP29" s="17"/>
      <c r="BQ29" s="31">
        <v>1369</v>
      </c>
      <c r="BR29" s="32">
        <v>-335</v>
      </c>
      <c r="BS29" s="32">
        <v>1034</v>
      </c>
      <c r="BT29" s="32">
        <v>1208</v>
      </c>
      <c r="BU29" s="32">
        <v>2242</v>
      </c>
      <c r="BV29" s="32">
        <v>2198</v>
      </c>
      <c r="BW29" s="33">
        <v>4440</v>
      </c>
      <c r="BX29" s="6"/>
      <c r="BY29" s="31">
        <v>1605</v>
      </c>
      <c r="BZ29" s="32">
        <v>1663</v>
      </c>
      <c r="CA29" s="32">
        <v>3268</v>
      </c>
      <c r="CB29" s="32">
        <v>1942</v>
      </c>
      <c r="CC29" s="32">
        <v>5210</v>
      </c>
      <c r="CD29" s="32">
        <v>1440</v>
      </c>
      <c r="CE29" s="33">
        <v>6650</v>
      </c>
      <c r="CF29" s="6"/>
      <c r="CG29" s="31">
        <v>1025</v>
      </c>
      <c r="CH29" s="32">
        <v>1331</v>
      </c>
      <c r="CI29" s="32">
        <v>2356</v>
      </c>
      <c r="CJ29" s="32">
        <v>1488</v>
      </c>
      <c r="CK29" s="32">
        <v>3844</v>
      </c>
      <c r="CL29" s="32">
        <v>891</v>
      </c>
      <c r="CM29" s="33">
        <v>4735</v>
      </c>
      <c r="CN29" s="30"/>
      <c r="CO29" s="31">
        <v>462</v>
      </c>
      <c r="CP29" s="32">
        <v>662</v>
      </c>
      <c r="CQ29" s="32">
        <v>1124</v>
      </c>
      <c r="CR29" s="32">
        <v>612</v>
      </c>
      <c r="CS29" s="32">
        <v>1736</v>
      </c>
      <c r="CT29" s="32">
        <v>867</v>
      </c>
      <c r="CU29" s="33">
        <v>2603</v>
      </c>
      <c r="CV29" s="30"/>
      <c r="CW29" s="31">
        <v>-31</v>
      </c>
      <c r="CX29" s="32">
        <v>134</v>
      </c>
      <c r="CY29" s="32">
        <v>103</v>
      </c>
      <c r="CZ29" s="32">
        <v>1075</v>
      </c>
      <c r="DA29" s="32">
        <v>1178</v>
      </c>
      <c r="DB29" s="32">
        <v>460</v>
      </c>
      <c r="DC29" s="33">
        <v>1638</v>
      </c>
      <c r="DD29" s="30"/>
      <c r="DE29" s="31">
        <v>428</v>
      </c>
      <c r="DF29" s="32">
        <v>379</v>
      </c>
      <c r="DG29" s="32">
        <v>807</v>
      </c>
      <c r="DH29" s="32">
        <v>499</v>
      </c>
      <c r="DI29" s="32">
        <v>1306</v>
      </c>
      <c r="DJ29" s="32">
        <v>-277</v>
      </c>
      <c r="DK29" s="33">
        <v>1029</v>
      </c>
      <c r="DL29" s="30"/>
      <c r="DM29" s="31">
        <v>0</v>
      </c>
      <c r="DN29" s="32">
        <v>0</v>
      </c>
      <c r="DO29" s="32">
        <v>0</v>
      </c>
      <c r="DP29" s="32">
        <v>-843</v>
      </c>
      <c r="DQ29" s="32">
        <v>-843</v>
      </c>
      <c r="DR29" s="32">
        <v>-812</v>
      </c>
      <c r="DS29" s="33">
        <v>-1655</v>
      </c>
    </row>
    <row r="30" spans="1:123" s="14" customFormat="1" x14ac:dyDescent="0.25">
      <c r="A30" s="4" t="s">
        <v>219</v>
      </c>
      <c r="B30" s="16" t="s">
        <v>24</v>
      </c>
      <c r="C30" s="17"/>
      <c r="D30" s="17"/>
      <c r="E30" s="567">
        <f>E25-SUM(E26:E29)</f>
        <v>-1831</v>
      </c>
      <c r="F30" s="608">
        <f t="shared" ref="F30:G30" si="5">F25-SUM(F26:F29)</f>
        <v>-1277</v>
      </c>
      <c r="G30" s="608">
        <f t="shared" si="5"/>
        <v>-3108</v>
      </c>
      <c r="H30" s="608">
        <f t="shared" ref="H30:I30" si="6">H25-SUM(H26:H29)</f>
        <v>-3229</v>
      </c>
      <c r="I30" s="608">
        <f t="shared" si="6"/>
        <v>-6337</v>
      </c>
      <c r="J30" s="406"/>
      <c r="K30" s="21"/>
      <c r="L30" s="604"/>
      <c r="M30" s="567">
        <v>-1235</v>
      </c>
      <c r="N30" s="406">
        <f t="shared" si="0"/>
        <v>382</v>
      </c>
      <c r="O30" s="406">
        <v>-853</v>
      </c>
      <c r="P30" s="406">
        <f t="shared" si="0"/>
        <v>-261</v>
      </c>
      <c r="Q30" s="423">
        <v>-1114</v>
      </c>
      <c r="R30" s="406">
        <f t="shared" si="0"/>
        <v>-1487.0239999999999</v>
      </c>
      <c r="S30" s="21">
        <v>-2601.0239999999999</v>
      </c>
      <c r="T30" s="483"/>
      <c r="U30" s="25">
        <v>-1479</v>
      </c>
      <c r="V30" s="406">
        <f t="shared" si="1"/>
        <v>1604</v>
      </c>
      <c r="W30" s="406">
        <v>125</v>
      </c>
      <c r="X30" s="406">
        <f t="shared" si="2"/>
        <v>-759</v>
      </c>
      <c r="Y30" s="406">
        <v>-634</v>
      </c>
      <c r="Z30" s="406">
        <f t="shared" si="3"/>
        <v>-18035</v>
      </c>
      <c r="AA30" s="21">
        <v>-18669</v>
      </c>
      <c r="AB30" s="17"/>
      <c r="AC30" s="25">
        <v>1043</v>
      </c>
      <c r="AD30" s="406">
        <v>2559</v>
      </c>
      <c r="AE30" s="406">
        <v>3602</v>
      </c>
      <c r="AF30" s="406">
        <v>-531</v>
      </c>
      <c r="AG30" s="406">
        <v>3071</v>
      </c>
      <c r="AH30" s="406">
        <f t="shared" si="4"/>
        <v>2008</v>
      </c>
      <c r="AI30" s="21">
        <v>5079</v>
      </c>
      <c r="AJ30" s="17"/>
      <c r="AK30" s="25">
        <v>903</v>
      </c>
      <c r="AL30" s="406">
        <v>257</v>
      </c>
      <c r="AM30" s="406">
        <v>1160</v>
      </c>
      <c r="AN30" s="406">
        <v>677</v>
      </c>
      <c r="AO30" s="406">
        <v>1837</v>
      </c>
      <c r="AP30" s="406">
        <v>-1112</v>
      </c>
      <c r="AQ30" s="21">
        <v>725</v>
      </c>
      <c r="AR30" s="17"/>
      <c r="AS30" s="25">
        <v>1523</v>
      </c>
      <c r="AT30" s="20">
        <v>1149</v>
      </c>
      <c r="AU30" s="20">
        <v>2672</v>
      </c>
      <c r="AV30" s="20">
        <v>1579</v>
      </c>
      <c r="AW30" s="20">
        <v>4251</v>
      </c>
      <c r="AX30" s="20">
        <v>542</v>
      </c>
      <c r="AY30" s="21">
        <v>4793</v>
      </c>
      <c r="AZ30" s="17"/>
      <c r="BA30" s="25">
        <v>674</v>
      </c>
      <c r="BB30" s="20">
        <v>1605</v>
      </c>
      <c r="BC30" s="20">
        <v>2279</v>
      </c>
      <c r="BD30" s="20">
        <v>2271</v>
      </c>
      <c r="BE30" s="20">
        <v>4550</v>
      </c>
      <c r="BF30" s="20">
        <v>387</v>
      </c>
      <c r="BG30" s="21">
        <v>4937</v>
      </c>
      <c r="BH30" s="17"/>
      <c r="BI30" s="25">
        <v>1794</v>
      </c>
      <c r="BJ30" s="20">
        <v>-1024</v>
      </c>
      <c r="BK30" s="20">
        <v>770</v>
      </c>
      <c r="BL30" s="20">
        <v>4594</v>
      </c>
      <c r="BM30" s="20">
        <v>5364</v>
      </c>
      <c r="BN30" s="20">
        <v>11310</v>
      </c>
      <c r="BO30" s="21">
        <v>16674</v>
      </c>
      <c r="BP30" s="17"/>
      <c r="BQ30" s="25">
        <v>2129</v>
      </c>
      <c r="BR30" s="20">
        <v>-499</v>
      </c>
      <c r="BS30" s="20">
        <v>1630</v>
      </c>
      <c r="BT30" s="20">
        <v>1562</v>
      </c>
      <c r="BU30" s="20">
        <v>3192</v>
      </c>
      <c r="BV30" s="20">
        <v>2724</v>
      </c>
      <c r="BW30" s="21">
        <v>5916</v>
      </c>
      <c r="BX30" s="12"/>
      <c r="BY30" s="25">
        <v>2598</v>
      </c>
      <c r="BZ30" s="20">
        <v>2876</v>
      </c>
      <c r="CA30" s="20">
        <v>5474</v>
      </c>
      <c r="CB30" s="20">
        <v>3102</v>
      </c>
      <c r="CC30" s="20">
        <v>8576</v>
      </c>
      <c r="CD30" s="20">
        <v>3222</v>
      </c>
      <c r="CE30" s="21">
        <v>11798</v>
      </c>
      <c r="CF30" s="12"/>
      <c r="CG30" s="25">
        <v>1974</v>
      </c>
      <c r="CH30" s="20">
        <v>1590</v>
      </c>
      <c r="CI30" s="20">
        <v>3564</v>
      </c>
      <c r="CJ30" s="20">
        <v>2132</v>
      </c>
      <c r="CK30" s="20">
        <v>5696</v>
      </c>
      <c r="CL30" s="20">
        <v>2463</v>
      </c>
      <c r="CM30" s="21">
        <v>8159</v>
      </c>
      <c r="CN30" s="26"/>
      <c r="CO30" s="25">
        <v>699</v>
      </c>
      <c r="CP30" s="20">
        <v>1074</v>
      </c>
      <c r="CQ30" s="20">
        <v>1773</v>
      </c>
      <c r="CR30" s="20">
        <v>974</v>
      </c>
      <c r="CS30" s="20">
        <v>2747</v>
      </c>
      <c r="CT30" s="20">
        <v>1310</v>
      </c>
      <c r="CU30" s="21">
        <v>4057</v>
      </c>
      <c r="CV30" s="26"/>
      <c r="CW30" s="25">
        <v>-49</v>
      </c>
      <c r="CX30" s="20">
        <v>207</v>
      </c>
      <c r="CY30" s="20">
        <v>158</v>
      </c>
      <c r="CZ30" s="20">
        <v>1510</v>
      </c>
      <c r="DA30" s="20">
        <v>1668</v>
      </c>
      <c r="DB30" s="20">
        <v>958</v>
      </c>
      <c r="DC30" s="21">
        <v>2626</v>
      </c>
      <c r="DD30" s="26"/>
      <c r="DE30" s="25">
        <v>680</v>
      </c>
      <c r="DF30" s="20">
        <v>599</v>
      </c>
      <c r="DG30" s="20">
        <v>1279</v>
      </c>
      <c r="DH30" s="20">
        <v>830</v>
      </c>
      <c r="DI30" s="20">
        <v>2109</v>
      </c>
      <c r="DJ30" s="20">
        <v>-459</v>
      </c>
      <c r="DK30" s="21">
        <v>1650</v>
      </c>
      <c r="DL30" s="26"/>
      <c r="DM30" s="25">
        <v>0</v>
      </c>
      <c r="DN30" s="20">
        <v>0</v>
      </c>
      <c r="DO30" s="20">
        <v>0</v>
      </c>
      <c r="DP30" s="20">
        <v>-1361</v>
      </c>
      <c r="DQ30" s="20">
        <v>-1361</v>
      </c>
      <c r="DR30" s="20">
        <v>-873</v>
      </c>
      <c r="DS30" s="21">
        <v>-2234</v>
      </c>
    </row>
    <row r="31" spans="1:123" ht="15" customHeight="1" outlineLevel="1" x14ac:dyDescent="0.25">
      <c r="B31" s="34" t="s">
        <v>54</v>
      </c>
      <c r="C31" s="17"/>
      <c r="D31" s="17"/>
      <c r="E31" s="569"/>
      <c r="F31" s="408"/>
      <c r="G31" s="408"/>
      <c r="H31" s="408"/>
      <c r="I31" s="408"/>
      <c r="J31" s="408"/>
      <c r="K31" s="29"/>
      <c r="L31" s="604"/>
      <c r="M31" s="569"/>
      <c r="N31" s="408"/>
      <c r="O31" s="408"/>
      <c r="P31" s="408"/>
      <c r="Q31" s="423"/>
      <c r="R31" s="408"/>
      <c r="S31" s="29"/>
      <c r="T31" s="483"/>
      <c r="U31" s="27"/>
      <c r="V31" s="408">
        <f t="shared" si="1"/>
        <v>0</v>
      </c>
      <c r="W31" s="408"/>
      <c r="X31" s="408">
        <f t="shared" si="2"/>
        <v>0</v>
      </c>
      <c r="Y31" s="408"/>
      <c r="Z31" s="408"/>
      <c r="AA31" s="29"/>
      <c r="AB31" s="17"/>
      <c r="AC31" s="27"/>
      <c r="AD31" s="408"/>
      <c r="AE31" s="408"/>
      <c r="AF31" s="408"/>
      <c r="AG31" s="408"/>
      <c r="AH31" s="408"/>
      <c r="AI31" s="29"/>
      <c r="AJ31" s="17"/>
      <c r="AK31" s="27"/>
      <c r="AL31" s="408"/>
      <c r="AM31" s="408"/>
      <c r="AN31" s="408"/>
      <c r="AO31" s="408"/>
      <c r="AP31" s="408"/>
      <c r="AQ31" s="29"/>
      <c r="AR31" s="17"/>
      <c r="AS31" s="27"/>
      <c r="AT31" s="28"/>
      <c r="AU31" s="28"/>
      <c r="AV31" s="28"/>
      <c r="AW31" s="28"/>
      <c r="AX31" s="28"/>
      <c r="AY31" s="29"/>
      <c r="AZ31" s="17"/>
      <c r="BA31" s="27"/>
      <c r="BB31" s="28"/>
      <c r="BC31" s="28"/>
      <c r="BD31" s="28"/>
      <c r="BE31" s="28"/>
      <c r="BF31" s="28"/>
      <c r="BG31" s="29"/>
      <c r="BH31" s="17"/>
      <c r="BI31" s="27"/>
      <c r="BJ31" s="28"/>
      <c r="BK31" s="28"/>
      <c r="BL31" s="28"/>
      <c r="BM31" s="28"/>
      <c r="BN31" s="28"/>
      <c r="BO31" s="29"/>
      <c r="BP31" s="17"/>
      <c r="BQ31" s="27"/>
      <c r="BR31" s="28"/>
      <c r="BS31" s="28"/>
      <c r="BT31" s="28"/>
      <c r="BU31" s="28"/>
      <c r="BV31" s="28"/>
      <c r="BW31" s="29"/>
      <c r="BX31" s="35"/>
      <c r="BY31" s="27"/>
      <c r="BZ31" s="28"/>
      <c r="CA31" s="28"/>
      <c r="CB31" s="28"/>
      <c r="CC31" s="28"/>
      <c r="CD31" s="28"/>
      <c r="CE31" s="29"/>
      <c r="CF31" s="35"/>
      <c r="CG31" s="27"/>
      <c r="CH31" s="28"/>
      <c r="CI31" s="36"/>
      <c r="CJ31" s="28"/>
      <c r="CK31" s="22"/>
      <c r="CL31" s="28"/>
      <c r="CM31" s="37"/>
      <c r="CN31" s="6"/>
      <c r="CO31" s="27"/>
      <c r="CP31" s="28"/>
      <c r="CQ31" s="36"/>
      <c r="CR31" s="28"/>
      <c r="CS31" s="22"/>
      <c r="CT31" s="28"/>
      <c r="CU31" s="37"/>
      <c r="CV31" s="6"/>
      <c r="CW31" s="27"/>
      <c r="CX31" s="28"/>
      <c r="CY31" s="36"/>
      <c r="CZ31" s="28"/>
      <c r="DA31" s="22"/>
      <c r="DB31" s="28"/>
      <c r="DC31" s="37"/>
      <c r="DD31" s="6"/>
      <c r="DE31" s="27"/>
      <c r="DF31" s="28"/>
      <c r="DG31" s="36"/>
      <c r="DH31" s="28"/>
      <c r="DI31" s="22"/>
      <c r="DJ31" s="28"/>
      <c r="DK31" s="37"/>
      <c r="DL31" s="6"/>
      <c r="DM31" s="27"/>
      <c r="DN31" s="28"/>
      <c r="DO31" s="36"/>
      <c r="DP31" s="28"/>
      <c r="DQ31" s="22"/>
      <c r="DR31" s="28"/>
      <c r="DS31" s="37"/>
    </row>
    <row r="32" spans="1:123" ht="15" customHeight="1" outlineLevel="1" x14ac:dyDescent="0.25">
      <c r="A32" s="4" t="s">
        <v>21</v>
      </c>
      <c r="B32" s="5" t="s">
        <v>21</v>
      </c>
      <c r="C32" s="17"/>
      <c r="D32" s="17"/>
      <c r="E32" s="569">
        <f>E29</f>
        <v>-1310</v>
      </c>
      <c r="F32" s="609">
        <f t="shared" ref="F32:G32" si="7">F29</f>
        <v>1689</v>
      </c>
      <c r="G32" s="609">
        <f t="shared" si="7"/>
        <v>380</v>
      </c>
      <c r="H32" s="609">
        <f t="shared" ref="H32:I32" si="8">H29</f>
        <v>136</v>
      </c>
      <c r="I32" s="609">
        <f t="shared" si="8"/>
        <v>516</v>
      </c>
      <c r="J32" s="408"/>
      <c r="K32" s="29"/>
      <c r="L32" s="604"/>
      <c r="M32" s="569">
        <v>-551</v>
      </c>
      <c r="N32" s="408">
        <f t="shared" si="0"/>
        <v>-101</v>
      </c>
      <c r="O32" s="408">
        <v>-652</v>
      </c>
      <c r="P32" s="408">
        <f t="shared" si="0"/>
        <v>-620</v>
      </c>
      <c r="Q32" s="424">
        <v>-1272</v>
      </c>
      <c r="R32" s="408">
        <f t="shared" si="0"/>
        <v>-36.617999999999938</v>
      </c>
      <c r="S32" s="29">
        <v>-1308.6179999999999</v>
      </c>
      <c r="T32" s="483"/>
      <c r="U32" s="27">
        <v>399</v>
      </c>
      <c r="V32" s="408">
        <f t="shared" si="1"/>
        <v>443</v>
      </c>
      <c r="W32" s="408">
        <v>842</v>
      </c>
      <c r="X32" s="408">
        <f t="shared" si="2"/>
        <v>-410</v>
      </c>
      <c r="Y32" s="408">
        <v>432</v>
      </c>
      <c r="Z32" s="408">
        <f t="shared" si="3"/>
        <v>-4706</v>
      </c>
      <c r="AA32" s="29">
        <v>-4274</v>
      </c>
      <c r="AB32" s="17"/>
      <c r="AC32" s="27">
        <v>347</v>
      </c>
      <c r="AD32" s="408">
        <v>681</v>
      </c>
      <c r="AE32" s="408">
        <v>1028</v>
      </c>
      <c r="AF32" s="408">
        <v>329</v>
      </c>
      <c r="AG32" s="408">
        <v>1357</v>
      </c>
      <c r="AH32" s="408">
        <f t="shared" si="4"/>
        <v>661</v>
      </c>
      <c r="AI32" s="29">
        <v>2018</v>
      </c>
      <c r="AJ32" s="17"/>
      <c r="AK32" s="27">
        <v>-7</v>
      </c>
      <c r="AL32" s="408">
        <v>1161</v>
      </c>
      <c r="AM32" s="408">
        <v>1154</v>
      </c>
      <c r="AN32" s="408">
        <v>1111</v>
      </c>
      <c r="AO32" s="408">
        <v>2265</v>
      </c>
      <c r="AP32" s="408">
        <v>-232</v>
      </c>
      <c r="AQ32" s="29">
        <v>2033</v>
      </c>
      <c r="AR32" s="17"/>
      <c r="AS32" s="27">
        <v>626</v>
      </c>
      <c r="AT32" s="28">
        <v>754</v>
      </c>
      <c r="AU32" s="28">
        <v>1380</v>
      </c>
      <c r="AV32" s="28">
        <v>868</v>
      </c>
      <c r="AW32" s="28">
        <v>2248</v>
      </c>
      <c r="AX32" s="28">
        <v>2</v>
      </c>
      <c r="AY32" s="29">
        <v>2250</v>
      </c>
      <c r="AZ32" s="17"/>
      <c r="BA32" s="27">
        <v>262</v>
      </c>
      <c r="BB32" s="28">
        <v>649</v>
      </c>
      <c r="BC32" s="28">
        <v>911</v>
      </c>
      <c r="BD32" s="28">
        <v>786</v>
      </c>
      <c r="BE32" s="28">
        <v>1697</v>
      </c>
      <c r="BF32" s="28">
        <v>-63</v>
      </c>
      <c r="BG32" s="29">
        <v>1634</v>
      </c>
      <c r="BH32" s="17"/>
      <c r="BI32" s="27">
        <v>1139</v>
      </c>
      <c r="BJ32" s="28">
        <v>3066</v>
      </c>
      <c r="BK32" s="28">
        <v>4205</v>
      </c>
      <c r="BL32" s="28">
        <v>-264</v>
      </c>
      <c r="BM32" s="28">
        <v>3941</v>
      </c>
      <c r="BN32" s="28">
        <v>-3024</v>
      </c>
      <c r="BO32" s="29">
        <v>917</v>
      </c>
      <c r="BP32" s="17"/>
      <c r="BQ32" s="27">
        <v>1368</v>
      </c>
      <c r="BR32" s="28">
        <v>-335</v>
      </c>
      <c r="BS32" s="28">
        <v>1033</v>
      </c>
      <c r="BT32" s="28">
        <v>1209</v>
      </c>
      <c r="BU32" s="28">
        <v>2242</v>
      </c>
      <c r="BV32" s="28">
        <v>2198</v>
      </c>
      <c r="BW32" s="29">
        <v>4440</v>
      </c>
      <c r="BX32" s="6"/>
      <c r="BY32" s="27">
        <v>1605</v>
      </c>
      <c r="BZ32" s="28">
        <v>1663</v>
      </c>
      <c r="CA32" s="28">
        <v>3268</v>
      </c>
      <c r="CB32" s="28">
        <v>1942</v>
      </c>
      <c r="CC32" s="28">
        <v>5210</v>
      </c>
      <c r="CD32" s="28">
        <v>1440</v>
      </c>
      <c r="CE32" s="29">
        <v>6650</v>
      </c>
      <c r="CF32" s="6"/>
      <c r="CG32" s="27">
        <v>1025</v>
      </c>
      <c r="CH32" s="28">
        <v>1331</v>
      </c>
      <c r="CI32" s="22">
        <v>2356</v>
      </c>
      <c r="CJ32" s="28">
        <v>1488</v>
      </c>
      <c r="CK32" s="22">
        <v>3844</v>
      </c>
      <c r="CL32" s="28">
        <v>891</v>
      </c>
      <c r="CM32" s="23">
        <v>4735</v>
      </c>
      <c r="CN32" s="30"/>
      <c r="CO32" s="27">
        <v>462</v>
      </c>
      <c r="CP32" s="28">
        <v>662</v>
      </c>
      <c r="CQ32" s="22">
        <v>1124</v>
      </c>
      <c r="CR32" s="28">
        <v>612</v>
      </c>
      <c r="CS32" s="22">
        <v>1736</v>
      </c>
      <c r="CT32" s="28">
        <v>867</v>
      </c>
      <c r="CU32" s="23">
        <v>2603</v>
      </c>
      <c r="CV32" s="30"/>
      <c r="CW32" s="27">
        <v>-31</v>
      </c>
      <c r="CX32" s="28">
        <v>134</v>
      </c>
      <c r="CY32" s="22">
        <v>103</v>
      </c>
      <c r="CZ32" s="28">
        <v>1075</v>
      </c>
      <c r="DA32" s="22">
        <v>1178</v>
      </c>
      <c r="DB32" s="28">
        <v>460</v>
      </c>
      <c r="DC32" s="23">
        <v>1638</v>
      </c>
      <c r="DD32" s="30"/>
      <c r="DE32" s="27">
        <v>428</v>
      </c>
      <c r="DF32" s="28">
        <v>379</v>
      </c>
      <c r="DG32" s="22">
        <v>807</v>
      </c>
      <c r="DH32" s="28">
        <v>499</v>
      </c>
      <c r="DI32" s="22">
        <v>1306</v>
      </c>
      <c r="DJ32" s="28">
        <v>-277</v>
      </c>
      <c r="DK32" s="23">
        <v>1029</v>
      </c>
      <c r="DL32" s="30"/>
      <c r="DM32" s="27">
        <v>0</v>
      </c>
      <c r="DN32" s="28">
        <v>0</v>
      </c>
      <c r="DO32" s="22">
        <v>0</v>
      </c>
      <c r="DP32" s="28">
        <v>-843</v>
      </c>
      <c r="DQ32" s="22">
        <v>-843</v>
      </c>
      <c r="DR32" s="28">
        <v>-813</v>
      </c>
      <c r="DS32" s="23">
        <v>-1656</v>
      </c>
    </row>
    <row r="33" spans="1:123" ht="15" customHeight="1" outlineLevel="1" x14ac:dyDescent="0.25">
      <c r="A33" s="4" t="s">
        <v>195</v>
      </c>
      <c r="B33" s="5" t="s">
        <v>19</v>
      </c>
      <c r="C33" s="17"/>
      <c r="D33" s="17"/>
      <c r="E33" s="569">
        <f>E27</f>
        <v>0</v>
      </c>
      <c r="F33" s="609">
        <f t="shared" ref="F33:G33" si="9">F27</f>
        <v>0</v>
      </c>
      <c r="G33" s="609">
        <f t="shared" si="9"/>
        <v>0</v>
      </c>
      <c r="H33" s="609">
        <f t="shared" ref="H33:I33" si="10">H27</f>
        <v>0</v>
      </c>
      <c r="I33" s="609">
        <f t="shared" si="10"/>
        <v>0</v>
      </c>
      <c r="J33" s="408"/>
      <c r="K33" s="29"/>
      <c r="L33" s="604"/>
      <c r="M33" s="569">
        <v>0</v>
      </c>
      <c r="N33" s="408">
        <f t="shared" si="0"/>
        <v>0</v>
      </c>
      <c r="O33" s="408">
        <v>0</v>
      </c>
      <c r="P33" s="408">
        <f t="shared" si="0"/>
        <v>0</v>
      </c>
      <c r="Q33" s="424">
        <v>0</v>
      </c>
      <c r="R33" s="408">
        <f t="shared" si="0"/>
        <v>6.0000000000000001E-3</v>
      </c>
      <c r="S33" s="29">
        <v>6.0000000000000001E-3</v>
      </c>
      <c r="T33" s="483"/>
      <c r="U33" s="27">
        <v>1</v>
      </c>
      <c r="V33" s="408">
        <f t="shared" si="1"/>
        <v>1</v>
      </c>
      <c r="W33" s="408">
        <v>2</v>
      </c>
      <c r="X33" s="408">
        <f t="shared" si="2"/>
        <v>0</v>
      </c>
      <c r="Y33" s="408">
        <v>2</v>
      </c>
      <c r="Z33" s="408">
        <f t="shared" si="3"/>
        <v>8</v>
      </c>
      <c r="AA33" s="29">
        <v>10</v>
      </c>
      <c r="AB33" s="17"/>
      <c r="AC33" s="27">
        <v>0</v>
      </c>
      <c r="AD33" s="408">
        <v>0</v>
      </c>
      <c r="AE33" s="408">
        <v>0</v>
      </c>
      <c r="AF33" s="408">
        <v>0</v>
      </c>
      <c r="AG33" s="408">
        <v>0</v>
      </c>
      <c r="AH33" s="408">
        <f t="shared" si="4"/>
        <v>0</v>
      </c>
      <c r="AI33" s="29">
        <v>0</v>
      </c>
      <c r="AJ33" s="17"/>
      <c r="AK33" s="27">
        <v>0</v>
      </c>
      <c r="AL33" s="408">
        <v>0</v>
      </c>
      <c r="AM33" s="408">
        <v>0</v>
      </c>
      <c r="AN33" s="408">
        <v>0</v>
      </c>
      <c r="AO33" s="408">
        <v>0</v>
      </c>
      <c r="AP33" s="408">
        <v>0</v>
      </c>
      <c r="AQ33" s="29">
        <v>0</v>
      </c>
      <c r="AR33" s="17"/>
      <c r="AS33" s="27">
        <v>0</v>
      </c>
      <c r="AT33" s="28">
        <v>0</v>
      </c>
      <c r="AU33" s="28">
        <v>0</v>
      </c>
      <c r="AV33" s="28">
        <v>0</v>
      </c>
      <c r="AW33" s="28">
        <v>0</v>
      </c>
      <c r="AX33" s="28">
        <v>17</v>
      </c>
      <c r="AY33" s="29">
        <v>17</v>
      </c>
      <c r="AZ33" s="17"/>
      <c r="BA33" s="27">
        <v>0</v>
      </c>
      <c r="BB33" s="28">
        <v>1</v>
      </c>
      <c r="BC33" s="28">
        <v>1</v>
      </c>
      <c r="BD33" s="28">
        <v>0</v>
      </c>
      <c r="BE33" s="28">
        <v>1</v>
      </c>
      <c r="BF33" s="28">
        <v>0</v>
      </c>
      <c r="BG33" s="29">
        <v>1</v>
      </c>
      <c r="BH33" s="17"/>
      <c r="BI33" s="27">
        <v>0</v>
      </c>
      <c r="BJ33" s="28">
        <v>0</v>
      </c>
      <c r="BK33" s="28">
        <v>0</v>
      </c>
      <c r="BL33" s="28">
        <v>0</v>
      </c>
      <c r="BM33" s="28">
        <v>0</v>
      </c>
      <c r="BN33" s="28">
        <v>0</v>
      </c>
      <c r="BO33" s="29">
        <v>0</v>
      </c>
      <c r="BP33" s="17"/>
      <c r="BQ33" s="27">
        <v>0</v>
      </c>
      <c r="BR33" s="28">
        <v>0</v>
      </c>
      <c r="BS33" s="28">
        <v>0</v>
      </c>
      <c r="BT33" s="28">
        <v>0</v>
      </c>
      <c r="BU33" s="28">
        <v>0</v>
      </c>
      <c r="BV33" s="28">
        <v>0</v>
      </c>
      <c r="BW33" s="29">
        <v>0</v>
      </c>
      <c r="BX33" s="6"/>
      <c r="BY33" s="27">
        <v>0</v>
      </c>
      <c r="BZ33" s="28">
        <v>0</v>
      </c>
      <c r="CA33" s="28">
        <v>0</v>
      </c>
      <c r="CB33" s="28">
        <v>0</v>
      </c>
      <c r="CC33" s="28">
        <v>0</v>
      </c>
      <c r="CD33" s="28">
        <v>0</v>
      </c>
      <c r="CE33" s="29">
        <v>0</v>
      </c>
      <c r="CF33" s="6"/>
      <c r="CG33" s="27">
        <v>7</v>
      </c>
      <c r="CH33" s="28">
        <v>1</v>
      </c>
      <c r="CI33" s="22">
        <v>8</v>
      </c>
      <c r="CJ33" s="28">
        <v>1</v>
      </c>
      <c r="CK33" s="22">
        <v>9</v>
      </c>
      <c r="CL33" s="28">
        <v>16</v>
      </c>
      <c r="CM33" s="23">
        <v>25</v>
      </c>
      <c r="CN33" s="30"/>
      <c r="CO33" s="27">
        <v>19</v>
      </c>
      <c r="CP33" s="28">
        <v>-17</v>
      </c>
      <c r="CQ33" s="22">
        <v>2</v>
      </c>
      <c r="CR33" s="28">
        <v>0</v>
      </c>
      <c r="CS33" s="22">
        <v>2</v>
      </c>
      <c r="CT33" s="28">
        <v>0</v>
      </c>
      <c r="CU33" s="23">
        <v>2</v>
      </c>
      <c r="CV33" s="30"/>
      <c r="CW33" s="27">
        <v>19</v>
      </c>
      <c r="CX33" s="28">
        <v>7</v>
      </c>
      <c r="CY33" s="22">
        <v>26</v>
      </c>
      <c r="CZ33" s="28">
        <v>-1</v>
      </c>
      <c r="DA33" s="22">
        <v>25</v>
      </c>
      <c r="DB33" s="28">
        <v>0</v>
      </c>
      <c r="DC33" s="23">
        <v>25</v>
      </c>
      <c r="DD33" s="30"/>
      <c r="DE33" s="27">
        <v>13</v>
      </c>
      <c r="DF33" s="28">
        <v>15</v>
      </c>
      <c r="DG33" s="22">
        <v>28</v>
      </c>
      <c r="DH33" s="28">
        <v>15</v>
      </c>
      <c r="DI33" s="22">
        <v>43</v>
      </c>
      <c r="DJ33" s="28">
        <v>18</v>
      </c>
      <c r="DK33" s="23">
        <v>61</v>
      </c>
      <c r="DL33" s="30"/>
      <c r="DM33" s="27">
        <v>0</v>
      </c>
      <c r="DN33" s="28">
        <v>0</v>
      </c>
      <c r="DO33" s="22">
        <v>0</v>
      </c>
      <c r="DP33" s="28">
        <v>1</v>
      </c>
      <c r="DQ33" s="22">
        <v>1</v>
      </c>
      <c r="DR33" s="28">
        <v>11</v>
      </c>
      <c r="DS33" s="23">
        <v>12</v>
      </c>
    </row>
    <row r="34" spans="1:123" ht="15" customHeight="1" outlineLevel="1" x14ac:dyDescent="0.25">
      <c r="A34" s="4" t="s">
        <v>95</v>
      </c>
      <c r="B34" s="5" t="s">
        <v>20</v>
      </c>
      <c r="C34" s="17"/>
      <c r="D34" s="17"/>
      <c r="E34" s="569">
        <f>E28</f>
        <v>2123</v>
      </c>
      <c r="F34" s="609">
        <f t="shared" ref="F34:G34" si="11">F28</f>
        <v>2125</v>
      </c>
      <c r="G34" s="609">
        <f t="shared" si="11"/>
        <v>4248</v>
      </c>
      <c r="H34" s="609">
        <f t="shared" ref="H34:I34" si="12">H28</f>
        <v>2116</v>
      </c>
      <c r="I34" s="609">
        <f t="shared" si="12"/>
        <v>6364</v>
      </c>
      <c r="J34" s="408"/>
      <c r="K34" s="29"/>
      <c r="L34" s="604"/>
      <c r="M34" s="569">
        <v>2149</v>
      </c>
      <c r="N34" s="408">
        <f t="shared" si="0"/>
        <v>2191</v>
      </c>
      <c r="O34" s="408">
        <v>4340</v>
      </c>
      <c r="P34" s="408">
        <f t="shared" si="0"/>
        <v>2144</v>
      </c>
      <c r="Q34" s="424">
        <v>6484</v>
      </c>
      <c r="R34" s="408">
        <f t="shared" si="0"/>
        <v>2111.1229999999996</v>
      </c>
      <c r="S34" s="29">
        <v>8595.1229999999996</v>
      </c>
      <c r="T34" s="483"/>
      <c r="U34" s="27">
        <v>787</v>
      </c>
      <c r="V34" s="408">
        <f t="shared" si="1"/>
        <v>1476</v>
      </c>
      <c r="W34" s="408">
        <v>2263</v>
      </c>
      <c r="X34" s="408">
        <f t="shared" si="2"/>
        <v>1737</v>
      </c>
      <c r="Y34" s="408">
        <v>4000</v>
      </c>
      <c r="Z34" s="408">
        <f t="shared" si="3"/>
        <v>2026</v>
      </c>
      <c r="AA34" s="29">
        <v>6026</v>
      </c>
      <c r="AB34" s="17"/>
      <c r="AC34" s="27">
        <v>566</v>
      </c>
      <c r="AD34" s="408">
        <v>507</v>
      </c>
      <c r="AE34" s="408">
        <v>1073</v>
      </c>
      <c r="AF34" s="408">
        <v>441</v>
      </c>
      <c r="AG34" s="408">
        <v>1514</v>
      </c>
      <c r="AH34" s="408">
        <f t="shared" si="4"/>
        <v>446</v>
      </c>
      <c r="AI34" s="29">
        <v>1960</v>
      </c>
      <c r="AJ34" s="17"/>
      <c r="AK34" s="27">
        <v>650</v>
      </c>
      <c r="AL34" s="408">
        <v>602</v>
      </c>
      <c r="AM34" s="408">
        <v>1252</v>
      </c>
      <c r="AN34" s="408">
        <v>566</v>
      </c>
      <c r="AO34" s="408">
        <v>1818</v>
      </c>
      <c r="AP34" s="408">
        <v>587</v>
      </c>
      <c r="AQ34" s="29">
        <v>2405</v>
      </c>
      <c r="AR34" s="17"/>
      <c r="AS34" s="27">
        <v>979</v>
      </c>
      <c r="AT34" s="28">
        <v>889</v>
      </c>
      <c r="AU34" s="28">
        <v>1868</v>
      </c>
      <c r="AV34" s="28">
        <v>772</v>
      </c>
      <c r="AW34" s="28">
        <v>2640</v>
      </c>
      <c r="AX34" s="28">
        <v>685</v>
      </c>
      <c r="AY34" s="29">
        <v>3325</v>
      </c>
      <c r="AZ34" s="17"/>
      <c r="BA34" s="27">
        <v>1316</v>
      </c>
      <c r="BB34" s="28">
        <v>1272</v>
      </c>
      <c r="BC34" s="28">
        <v>2588</v>
      </c>
      <c r="BD34" s="28">
        <v>1073</v>
      </c>
      <c r="BE34" s="28">
        <v>3661</v>
      </c>
      <c r="BF34" s="28">
        <v>1013</v>
      </c>
      <c r="BG34" s="29">
        <v>4674</v>
      </c>
      <c r="BH34" s="17"/>
      <c r="BI34" s="27">
        <v>1635</v>
      </c>
      <c r="BJ34" s="28">
        <v>1549</v>
      </c>
      <c r="BK34" s="28">
        <v>3184</v>
      </c>
      <c r="BL34" s="28">
        <v>1444</v>
      </c>
      <c r="BM34" s="28">
        <v>4628</v>
      </c>
      <c r="BN34" s="28">
        <v>1362</v>
      </c>
      <c r="BO34" s="29">
        <v>5990</v>
      </c>
      <c r="BP34" s="17"/>
      <c r="BQ34" s="27">
        <v>517</v>
      </c>
      <c r="BR34" s="28">
        <v>1088</v>
      </c>
      <c r="BS34" s="28">
        <v>1605</v>
      </c>
      <c r="BT34" s="28">
        <v>1800</v>
      </c>
      <c r="BU34" s="28">
        <v>3405</v>
      </c>
      <c r="BV34" s="28">
        <v>1729</v>
      </c>
      <c r="BW34" s="29">
        <v>5134</v>
      </c>
      <c r="BX34" s="6"/>
      <c r="BY34" s="27">
        <v>1124</v>
      </c>
      <c r="BZ34" s="28">
        <v>1021</v>
      </c>
      <c r="CA34" s="28">
        <v>2145</v>
      </c>
      <c r="CB34" s="28">
        <v>932</v>
      </c>
      <c r="CC34" s="28">
        <v>3077</v>
      </c>
      <c r="CD34" s="28">
        <v>649</v>
      </c>
      <c r="CE34" s="29">
        <v>3726</v>
      </c>
      <c r="CF34" s="6"/>
      <c r="CG34" s="27">
        <v>1283</v>
      </c>
      <c r="CH34" s="28">
        <v>1258</v>
      </c>
      <c r="CI34" s="22">
        <v>2541</v>
      </c>
      <c r="CJ34" s="28">
        <v>1206</v>
      </c>
      <c r="CK34" s="22">
        <v>3747</v>
      </c>
      <c r="CL34" s="28">
        <v>1170</v>
      </c>
      <c r="CM34" s="23">
        <v>4917</v>
      </c>
      <c r="CN34" s="30"/>
      <c r="CO34" s="27">
        <v>1454</v>
      </c>
      <c r="CP34" s="28">
        <v>1437</v>
      </c>
      <c r="CQ34" s="22">
        <v>2891</v>
      </c>
      <c r="CR34" s="28">
        <v>1395</v>
      </c>
      <c r="CS34" s="22">
        <v>4286</v>
      </c>
      <c r="CT34" s="28">
        <v>1350</v>
      </c>
      <c r="CU34" s="23">
        <v>5636</v>
      </c>
      <c r="CV34" s="30"/>
      <c r="CW34" s="27">
        <v>1604</v>
      </c>
      <c r="CX34" s="28">
        <v>1589</v>
      </c>
      <c r="CY34" s="22">
        <v>3193</v>
      </c>
      <c r="CZ34" s="28">
        <v>1572</v>
      </c>
      <c r="DA34" s="22">
        <v>4765</v>
      </c>
      <c r="DB34" s="28">
        <v>1530</v>
      </c>
      <c r="DC34" s="23">
        <v>6295</v>
      </c>
      <c r="DD34" s="30"/>
      <c r="DE34" s="27">
        <v>1186</v>
      </c>
      <c r="DF34" s="28">
        <v>1161</v>
      </c>
      <c r="DG34" s="22">
        <v>2347</v>
      </c>
      <c r="DH34" s="28">
        <v>1147</v>
      </c>
      <c r="DI34" s="22">
        <v>3494</v>
      </c>
      <c r="DJ34" s="28">
        <v>1380</v>
      </c>
      <c r="DK34" s="23">
        <v>4874</v>
      </c>
      <c r="DL34" s="30"/>
      <c r="DM34" s="27">
        <v>0</v>
      </c>
      <c r="DN34" s="28">
        <v>0</v>
      </c>
      <c r="DO34" s="22">
        <v>0</v>
      </c>
      <c r="DP34" s="28">
        <v>200</v>
      </c>
      <c r="DQ34" s="22">
        <v>200</v>
      </c>
      <c r="DR34" s="28">
        <v>1227</v>
      </c>
      <c r="DS34" s="23">
        <v>1427</v>
      </c>
    </row>
    <row r="35" spans="1:123" ht="15" customHeight="1" outlineLevel="1" x14ac:dyDescent="0.25">
      <c r="A35" s="4" t="s">
        <v>96</v>
      </c>
      <c r="B35" s="5" t="s">
        <v>55</v>
      </c>
      <c r="C35" s="17"/>
      <c r="D35" s="17"/>
      <c r="E35" s="569">
        <v>2160</v>
      </c>
      <c r="F35" s="408">
        <v>2165</v>
      </c>
      <c r="G35" s="408">
        <v>4325</v>
      </c>
      <c r="H35" s="408">
        <v>2028</v>
      </c>
      <c r="I35" s="408">
        <v>6353</v>
      </c>
      <c r="J35" s="408"/>
      <c r="K35" s="29"/>
      <c r="L35" s="604"/>
      <c r="M35" s="569">
        <v>2014</v>
      </c>
      <c r="N35" s="408">
        <f t="shared" si="0"/>
        <v>2016</v>
      </c>
      <c r="O35" s="408">
        <v>4030</v>
      </c>
      <c r="P35" s="408">
        <f t="shared" si="0"/>
        <v>2008</v>
      </c>
      <c r="Q35" s="424">
        <v>6038</v>
      </c>
      <c r="R35" s="408">
        <f t="shared" si="0"/>
        <v>1973</v>
      </c>
      <c r="S35" s="29">
        <v>8011</v>
      </c>
      <c r="T35" s="483"/>
      <c r="U35" s="27">
        <v>1995</v>
      </c>
      <c r="V35" s="408">
        <f t="shared" si="1"/>
        <v>1995</v>
      </c>
      <c r="W35" s="542">
        <v>3990</v>
      </c>
      <c r="X35" s="542">
        <f t="shared" si="2"/>
        <v>2009</v>
      </c>
      <c r="Y35" s="542">
        <v>5999</v>
      </c>
      <c r="Z35" s="408">
        <f t="shared" si="3"/>
        <v>2008</v>
      </c>
      <c r="AA35" s="29">
        <f>8094-87</f>
        <v>8007</v>
      </c>
      <c r="AB35" s="17"/>
      <c r="AC35" s="27">
        <v>2217</v>
      </c>
      <c r="AD35" s="408">
        <v>2095</v>
      </c>
      <c r="AE35" s="408">
        <v>4312</v>
      </c>
      <c r="AF35" s="408">
        <v>2042</v>
      </c>
      <c r="AG35" s="408">
        <v>6354</v>
      </c>
      <c r="AH35" s="408">
        <f t="shared" si="4"/>
        <v>2051</v>
      </c>
      <c r="AI35" s="29">
        <v>8405</v>
      </c>
      <c r="AJ35" s="17"/>
      <c r="AK35" s="27">
        <v>2054</v>
      </c>
      <c r="AL35" s="408">
        <v>2037</v>
      </c>
      <c r="AM35" s="408">
        <v>4091</v>
      </c>
      <c r="AN35" s="408">
        <v>2038</v>
      </c>
      <c r="AO35" s="408">
        <v>6129</v>
      </c>
      <c r="AP35" s="408">
        <v>2040</v>
      </c>
      <c r="AQ35" s="29">
        <v>8169</v>
      </c>
      <c r="AR35" s="17"/>
      <c r="AS35" s="27">
        <v>2111</v>
      </c>
      <c r="AT35" s="28">
        <v>2113</v>
      </c>
      <c r="AU35" s="28">
        <v>4224</v>
      </c>
      <c r="AV35" s="28">
        <v>2319</v>
      </c>
      <c r="AW35" s="28">
        <v>6543</v>
      </c>
      <c r="AX35" s="28">
        <v>1988</v>
      </c>
      <c r="AY35" s="29">
        <v>8531</v>
      </c>
      <c r="AZ35" s="17"/>
      <c r="BA35" s="27">
        <v>2043</v>
      </c>
      <c r="BB35" s="28">
        <v>2245</v>
      </c>
      <c r="BC35" s="28">
        <v>4288</v>
      </c>
      <c r="BD35" s="28">
        <v>2086</v>
      </c>
      <c r="BE35" s="28">
        <v>6374</v>
      </c>
      <c r="BF35" s="28">
        <v>2119</v>
      </c>
      <c r="BG35" s="29">
        <v>8493</v>
      </c>
      <c r="BH35" s="17"/>
      <c r="BI35" s="27">
        <v>653</v>
      </c>
      <c r="BJ35" s="28">
        <v>5665</v>
      </c>
      <c r="BK35" s="28">
        <v>6318</v>
      </c>
      <c r="BL35" s="28">
        <v>3068</v>
      </c>
      <c r="BM35" s="28">
        <v>9386</v>
      </c>
      <c r="BN35" s="28">
        <v>2033</v>
      </c>
      <c r="BO35" s="29">
        <v>11419</v>
      </c>
      <c r="BP35" s="17"/>
      <c r="BQ35" s="27">
        <v>835</v>
      </c>
      <c r="BR35" s="28">
        <v>802</v>
      </c>
      <c r="BS35" s="28">
        <v>1637</v>
      </c>
      <c r="BT35" s="28">
        <v>4409</v>
      </c>
      <c r="BU35" s="28">
        <v>6046</v>
      </c>
      <c r="BV35" s="28">
        <v>1723</v>
      </c>
      <c r="BW35" s="29">
        <v>7769</v>
      </c>
      <c r="BX35" s="6"/>
      <c r="BY35" s="27">
        <v>846</v>
      </c>
      <c r="BZ35" s="28">
        <v>874</v>
      </c>
      <c r="CA35" s="28">
        <v>1720</v>
      </c>
      <c r="CB35" s="28">
        <v>876</v>
      </c>
      <c r="CC35" s="28">
        <v>2596</v>
      </c>
      <c r="CD35" s="28">
        <v>879</v>
      </c>
      <c r="CE35" s="29">
        <v>3475</v>
      </c>
      <c r="CF35" s="6"/>
      <c r="CG35" s="27">
        <v>961</v>
      </c>
      <c r="CH35" s="28">
        <v>970</v>
      </c>
      <c r="CI35" s="36">
        <v>1931</v>
      </c>
      <c r="CJ35" s="28">
        <v>963</v>
      </c>
      <c r="CK35" s="22">
        <v>2894</v>
      </c>
      <c r="CL35" s="28">
        <v>938</v>
      </c>
      <c r="CM35" s="37">
        <v>3832</v>
      </c>
      <c r="CN35" s="30"/>
      <c r="CO35" s="27">
        <v>911</v>
      </c>
      <c r="CP35" s="28">
        <v>905</v>
      </c>
      <c r="CQ35" s="36">
        <v>1816</v>
      </c>
      <c r="CR35" s="28">
        <v>918</v>
      </c>
      <c r="CS35" s="22">
        <v>2734</v>
      </c>
      <c r="CT35" s="28">
        <v>953</v>
      </c>
      <c r="CU35" s="37">
        <v>3687</v>
      </c>
      <c r="CV35" s="30"/>
      <c r="CW35" s="27">
        <v>1433</v>
      </c>
      <c r="CX35" s="28">
        <v>900</v>
      </c>
      <c r="CY35" s="36">
        <v>2333</v>
      </c>
      <c r="CZ35" s="28">
        <v>866</v>
      </c>
      <c r="DA35" s="22">
        <v>3199</v>
      </c>
      <c r="DB35" s="28">
        <v>1068</v>
      </c>
      <c r="DC35" s="37">
        <v>4267</v>
      </c>
      <c r="DD35" s="30"/>
      <c r="DE35" s="27">
        <v>684</v>
      </c>
      <c r="DF35" s="28">
        <v>682</v>
      </c>
      <c r="DG35" s="36">
        <v>1366</v>
      </c>
      <c r="DH35" s="28">
        <v>464</v>
      </c>
      <c r="DI35" s="22">
        <v>1830</v>
      </c>
      <c r="DJ35" s="28">
        <v>723</v>
      </c>
      <c r="DK35" s="37">
        <v>2553</v>
      </c>
      <c r="DL35" s="30"/>
      <c r="DM35" s="27">
        <v>0</v>
      </c>
      <c r="DN35" s="28">
        <v>0</v>
      </c>
      <c r="DO35" s="36">
        <v>0</v>
      </c>
      <c r="DP35" s="28">
        <v>660</v>
      </c>
      <c r="DQ35" s="22">
        <v>660</v>
      </c>
      <c r="DR35" s="28">
        <v>3682</v>
      </c>
      <c r="DS35" s="37">
        <v>4342</v>
      </c>
    </row>
    <row r="36" spans="1:123" s="163" customFormat="1" ht="15" customHeight="1" outlineLevel="1" x14ac:dyDescent="0.25">
      <c r="A36" s="4" t="s">
        <v>220</v>
      </c>
      <c r="B36" s="5" t="s">
        <v>56</v>
      </c>
      <c r="C36" s="17"/>
      <c r="D36" s="17"/>
      <c r="E36" s="570">
        <v>25</v>
      </c>
      <c r="F36" s="409">
        <v>24</v>
      </c>
      <c r="G36" s="409">
        <v>49</v>
      </c>
      <c r="H36" s="409">
        <v>25</v>
      </c>
      <c r="I36" s="409">
        <v>74</v>
      </c>
      <c r="J36" s="409"/>
      <c r="K36" s="162"/>
      <c r="L36" s="604"/>
      <c r="M36" s="570">
        <v>25</v>
      </c>
      <c r="N36" s="409">
        <f t="shared" si="0"/>
        <v>24</v>
      </c>
      <c r="O36" s="409">
        <v>49</v>
      </c>
      <c r="P36" s="409">
        <f t="shared" si="0"/>
        <v>25</v>
      </c>
      <c r="Q36" s="425">
        <v>74</v>
      </c>
      <c r="R36" s="409">
        <f t="shared" si="0"/>
        <v>25</v>
      </c>
      <c r="S36" s="162">
        <v>99</v>
      </c>
      <c r="T36" s="483"/>
      <c r="U36" s="160">
        <v>13</v>
      </c>
      <c r="V36" s="409">
        <f t="shared" si="1"/>
        <v>25</v>
      </c>
      <c r="W36" s="409">
        <v>38</v>
      </c>
      <c r="X36" s="409">
        <f t="shared" si="2"/>
        <v>24</v>
      </c>
      <c r="Y36" s="409">
        <v>62</v>
      </c>
      <c r="Z36" s="409">
        <f t="shared" si="3"/>
        <v>25</v>
      </c>
      <c r="AA36" s="162">
        <v>87</v>
      </c>
      <c r="AB36" s="17"/>
      <c r="AC36" s="160">
        <v>8</v>
      </c>
      <c r="AD36" s="409">
        <v>7</v>
      </c>
      <c r="AE36" s="409">
        <v>15</v>
      </c>
      <c r="AF36" s="409">
        <v>8</v>
      </c>
      <c r="AG36" s="409">
        <v>23</v>
      </c>
      <c r="AH36" s="409">
        <f t="shared" si="4"/>
        <v>7</v>
      </c>
      <c r="AI36" s="162">
        <v>30</v>
      </c>
      <c r="AJ36" s="17"/>
      <c r="AK36" s="160">
        <v>7</v>
      </c>
      <c r="AL36" s="409">
        <v>8</v>
      </c>
      <c r="AM36" s="409">
        <v>15</v>
      </c>
      <c r="AN36" s="409">
        <v>8</v>
      </c>
      <c r="AO36" s="409">
        <v>23</v>
      </c>
      <c r="AP36" s="409">
        <v>7</v>
      </c>
      <c r="AQ36" s="162">
        <v>30</v>
      </c>
      <c r="AR36" s="17"/>
      <c r="AS36" s="160">
        <v>8</v>
      </c>
      <c r="AT36" s="161">
        <v>7</v>
      </c>
      <c r="AU36" s="161">
        <v>15</v>
      </c>
      <c r="AV36" s="161">
        <v>8</v>
      </c>
      <c r="AW36" s="161">
        <v>23</v>
      </c>
      <c r="AX36" s="161">
        <v>7</v>
      </c>
      <c r="AY36" s="162">
        <v>30</v>
      </c>
      <c r="AZ36" s="17"/>
      <c r="BA36" s="160">
        <v>7</v>
      </c>
      <c r="BB36" s="161">
        <v>8</v>
      </c>
      <c r="BC36" s="161">
        <v>15</v>
      </c>
      <c r="BD36" s="161">
        <v>8</v>
      </c>
      <c r="BE36" s="161">
        <v>23</v>
      </c>
      <c r="BF36" s="161">
        <v>7</v>
      </c>
      <c r="BG36" s="162">
        <v>30</v>
      </c>
      <c r="BH36" s="17"/>
      <c r="BI36" s="160">
        <v>601</v>
      </c>
      <c r="BJ36" s="161">
        <v>7</v>
      </c>
      <c r="BK36" s="161">
        <v>608</v>
      </c>
      <c r="BL36" s="161">
        <v>8</v>
      </c>
      <c r="BM36" s="161">
        <v>616</v>
      </c>
      <c r="BN36" s="161">
        <v>7</v>
      </c>
      <c r="BO36" s="162">
        <v>623</v>
      </c>
      <c r="BP36" s="17"/>
      <c r="BQ36" s="160">
        <v>79</v>
      </c>
      <c r="BR36" s="161">
        <v>88</v>
      </c>
      <c r="BS36" s="161">
        <v>167</v>
      </c>
      <c r="BT36" s="161">
        <v>93</v>
      </c>
      <c r="BU36" s="161">
        <v>260</v>
      </c>
      <c r="BV36" s="161">
        <v>1321</v>
      </c>
      <c r="BW36" s="162">
        <v>1581</v>
      </c>
      <c r="BX36" s="35"/>
      <c r="BY36" s="160">
        <v>80</v>
      </c>
      <c r="BZ36" s="161">
        <v>80</v>
      </c>
      <c r="CA36" s="161">
        <v>160</v>
      </c>
      <c r="CB36" s="161">
        <v>80</v>
      </c>
      <c r="CC36" s="161">
        <v>240</v>
      </c>
      <c r="CD36" s="161">
        <v>79</v>
      </c>
      <c r="CE36" s="162">
        <v>319</v>
      </c>
      <c r="CF36" s="35"/>
      <c r="CG36" s="160">
        <v>83</v>
      </c>
      <c r="CH36" s="161">
        <v>82</v>
      </c>
      <c r="CI36" s="192">
        <v>165</v>
      </c>
      <c r="CJ36" s="161">
        <v>81</v>
      </c>
      <c r="CK36" s="161">
        <v>246</v>
      </c>
      <c r="CL36" s="161">
        <v>81</v>
      </c>
      <c r="CM36" s="193">
        <v>327</v>
      </c>
      <c r="CN36" s="164"/>
      <c r="CO36" s="160">
        <v>86</v>
      </c>
      <c r="CP36" s="161">
        <v>84</v>
      </c>
      <c r="CQ36" s="192">
        <v>170</v>
      </c>
      <c r="CR36" s="161">
        <v>85</v>
      </c>
      <c r="CS36" s="161">
        <v>255</v>
      </c>
      <c r="CT36" s="161">
        <v>83</v>
      </c>
      <c r="CU36" s="193">
        <v>338</v>
      </c>
      <c r="CV36" s="164"/>
      <c r="CW36" s="160">
        <v>90</v>
      </c>
      <c r="CX36" s="161">
        <v>89</v>
      </c>
      <c r="CY36" s="192">
        <v>179</v>
      </c>
      <c r="CZ36" s="161">
        <v>88</v>
      </c>
      <c r="DA36" s="161">
        <v>267</v>
      </c>
      <c r="DB36" s="161">
        <v>86</v>
      </c>
      <c r="DC36" s="193">
        <v>353</v>
      </c>
      <c r="DD36" s="164"/>
      <c r="DE36" s="160">
        <v>80</v>
      </c>
      <c r="DF36" s="161">
        <v>77</v>
      </c>
      <c r="DG36" s="192">
        <v>157</v>
      </c>
      <c r="DH36" s="161">
        <v>73</v>
      </c>
      <c r="DI36" s="161">
        <v>230</v>
      </c>
      <c r="DJ36" s="161">
        <v>78</v>
      </c>
      <c r="DK36" s="193">
        <v>308</v>
      </c>
      <c r="DL36" s="164"/>
      <c r="DM36" s="160">
        <v>0</v>
      </c>
      <c r="DN36" s="161">
        <v>0</v>
      </c>
      <c r="DO36" s="192">
        <v>0</v>
      </c>
      <c r="DP36" s="161">
        <v>14</v>
      </c>
      <c r="DQ36" s="161">
        <v>14</v>
      </c>
      <c r="DR36" s="161">
        <v>86</v>
      </c>
      <c r="DS36" s="193">
        <v>100</v>
      </c>
    </row>
    <row r="37" spans="1:123" s="14" customFormat="1" x14ac:dyDescent="0.25">
      <c r="A37" s="4" t="s">
        <v>57</v>
      </c>
      <c r="B37" s="16" t="s">
        <v>57</v>
      </c>
      <c r="C37" s="17"/>
      <c r="D37" s="17"/>
      <c r="E37" s="567">
        <f>SUM(E30:E36)</f>
        <v>1167</v>
      </c>
      <c r="F37" s="608">
        <f t="shared" ref="F37:G37" si="13">SUM(F30:F36)</f>
        <v>4726</v>
      </c>
      <c r="G37" s="608">
        <f t="shared" si="13"/>
        <v>5894</v>
      </c>
      <c r="H37" s="608">
        <f t="shared" ref="H37:I37" si="14">SUM(H30:H36)</f>
        <v>1076</v>
      </c>
      <c r="I37" s="608">
        <f t="shared" si="14"/>
        <v>6970</v>
      </c>
      <c r="J37" s="406"/>
      <c r="K37" s="21"/>
      <c r="L37" s="604"/>
      <c r="M37" s="567">
        <v>2402</v>
      </c>
      <c r="N37" s="406">
        <f t="shared" si="0"/>
        <v>4512</v>
      </c>
      <c r="O37" s="406">
        <v>6914</v>
      </c>
      <c r="P37" s="406">
        <f t="shared" si="0"/>
        <v>3296</v>
      </c>
      <c r="Q37" s="423">
        <v>10210</v>
      </c>
      <c r="R37" s="406">
        <f t="shared" si="0"/>
        <v>2585.5109999999986</v>
      </c>
      <c r="S37" s="21">
        <v>12795.510999999999</v>
      </c>
      <c r="T37" s="483"/>
      <c r="U37" s="25">
        <v>1716</v>
      </c>
      <c r="V37" s="406">
        <f t="shared" si="1"/>
        <v>5544</v>
      </c>
      <c r="W37" s="406">
        <f>SUM(W30:W36)</f>
        <v>7260</v>
      </c>
      <c r="X37" s="406">
        <f t="shared" si="2"/>
        <v>2601</v>
      </c>
      <c r="Y37" s="406">
        <v>9861</v>
      </c>
      <c r="Z37" s="406">
        <f t="shared" si="3"/>
        <v>-18674</v>
      </c>
      <c r="AA37" s="21">
        <v>-8813</v>
      </c>
      <c r="AB37" s="17"/>
      <c r="AC37" s="25">
        <v>4181</v>
      </c>
      <c r="AD37" s="406">
        <v>5849</v>
      </c>
      <c r="AE37" s="406">
        <v>10030</v>
      </c>
      <c r="AF37" s="406">
        <v>2289</v>
      </c>
      <c r="AG37" s="406">
        <v>12319</v>
      </c>
      <c r="AH37" s="406">
        <f t="shared" si="4"/>
        <v>5173</v>
      </c>
      <c r="AI37" s="21">
        <v>17492</v>
      </c>
      <c r="AJ37" s="17"/>
      <c r="AK37" s="25">
        <v>3607</v>
      </c>
      <c r="AL37" s="406">
        <v>4065</v>
      </c>
      <c r="AM37" s="406">
        <v>7672</v>
      </c>
      <c r="AN37" s="406">
        <v>4400</v>
      </c>
      <c r="AO37" s="406">
        <v>12072</v>
      </c>
      <c r="AP37" s="406">
        <v>1290</v>
      </c>
      <c r="AQ37" s="21">
        <v>13362</v>
      </c>
      <c r="AR37" s="17"/>
      <c r="AS37" s="25">
        <v>5247</v>
      </c>
      <c r="AT37" s="20">
        <v>4912</v>
      </c>
      <c r="AU37" s="20">
        <v>10159</v>
      </c>
      <c r="AV37" s="20">
        <v>5546</v>
      </c>
      <c r="AW37" s="20">
        <v>15705</v>
      </c>
      <c r="AX37" s="20">
        <v>3241</v>
      </c>
      <c r="AY37" s="21">
        <v>18946</v>
      </c>
      <c r="AZ37" s="17"/>
      <c r="BA37" s="25">
        <v>4302</v>
      </c>
      <c r="BB37" s="20">
        <v>5780</v>
      </c>
      <c r="BC37" s="20">
        <v>10082</v>
      </c>
      <c r="BD37" s="20">
        <v>6224</v>
      </c>
      <c r="BE37" s="20">
        <v>16306</v>
      </c>
      <c r="BF37" s="20">
        <v>3463</v>
      </c>
      <c r="BG37" s="21">
        <v>19769</v>
      </c>
      <c r="BH37" s="17"/>
      <c r="BI37" s="25">
        <v>5822</v>
      </c>
      <c r="BJ37" s="20">
        <v>9263</v>
      </c>
      <c r="BK37" s="20">
        <v>15085</v>
      </c>
      <c r="BL37" s="20">
        <v>8850</v>
      </c>
      <c r="BM37" s="20">
        <v>23935</v>
      </c>
      <c r="BN37" s="20">
        <v>11688</v>
      </c>
      <c r="BO37" s="21">
        <v>35623</v>
      </c>
      <c r="BP37" s="17"/>
      <c r="BQ37" s="25">
        <v>4928</v>
      </c>
      <c r="BR37" s="20">
        <v>1144</v>
      </c>
      <c r="BS37" s="20">
        <v>6072</v>
      </c>
      <c r="BT37" s="20">
        <v>9073</v>
      </c>
      <c r="BU37" s="20">
        <v>15145</v>
      </c>
      <c r="BV37" s="20">
        <v>9695</v>
      </c>
      <c r="BW37" s="21">
        <v>24840</v>
      </c>
      <c r="BX37" s="12"/>
      <c r="BY37" s="25">
        <v>6253</v>
      </c>
      <c r="BZ37" s="20">
        <v>6514</v>
      </c>
      <c r="CA37" s="20">
        <v>12767</v>
      </c>
      <c r="CB37" s="20">
        <v>6932</v>
      </c>
      <c r="CC37" s="20">
        <v>19699</v>
      </c>
      <c r="CD37" s="20">
        <v>6269</v>
      </c>
      <c r="CE37" s="21">
        <v>25968</v>
      </c>
      <c r="CF37" s="12"/>
      <c r="CG37" s="25">
        <v>5333</v>
      </c>
      <c r="CH37" s="20">
        <v>5232</v>
      </c>
      <c r="CI37" s="20">
        <v>10565</v>
      </c>
      <c r="CJ37" s="20">
        <v>5871</v>
      </c>
      <c r="CK37" s="20">
        <v>16436</v>
      </c>
      <c r="CL37" s="20">
        <v>5559</v>
      </c>
      <c r="CM37" s="21">
        <v>21995</v>
      </c>
      <c r="CN37" s="26"/>
      <c r="CO37" s="25">
        <v>3631</v>
      </c>
      <c r="CP37" s="20">
        <v>4145</v>
      </c>
      <c r="CQ37" s="20">
        <v>7776</v>
      </c>
      <c r="CR37" s="20">
        <v>3984</v>
      </c>
      <c r="CS37" s="20">
        <v>11760</v>
      </c>
      <c r="CT37" s="20">
        <v>4563</v>
      </c>
      <c r="CU37" s="21">
        <v>16323</v>
      </c>
      <c r="CV37" s="26"/>
      <c r="CW37" s="25">
        <v>3066</v>
      </c>
      <c r="CX37" s="20">
        <v>2926</v>
      </c>
      <c r="CY37" s="20">
        <v>5992</v>
      </c>
      <c r="CZ37" s="20">
        <v>5110</v>
      </c>
      <c r="DA37" s="20">
        <v>11102</v>
      </c>
      <c r="DB37" s="20">
        <v>4102</v>
      </c>
      <c r="DC37" s="21">
        <v>15204</v>
      </c>
      <c r="DD37" s="26"/>
      <c r="DE37" s="25">
        <v>3071</v>
      </c>
      <c r="DF37" s="20">
        <v>2913</v>
      </c>
      <c r="DG37" s="20">
        <v>5984</v>
      </c>
      <c r="DH37" s="20">
        <v>3028</v>
      </c>
      <c r="DI37" s="20">
        <v>9012</v>
      </c>
      <c r="DJ37" s="20">
        <v>1463</v>
      </c>
      <c r="DK37" s="21">
        <v>10475</v>
      </c>
      <c r="DL37" s="26"/>
      <c r="DM37" s="25">
        <v>0</v>
      </c>
      <c r="DN37" s="20">
        <v>0</v>
      </c>
      <c r="DO37" s="20">
        <v>0</v>
      </c>
      <c r="DP37" s="20">
        <v>-1329</v>
      </c>
      <c r="DQ37" s="20">
        <v>-1329</v>
      </c>
      <c r="DR37" s="20">
        <v>3320</v>
      </c>
      <c r="DS37" s="21">
        <v>1991</v>
      </c>
    </row>
    <row r="38" spans="1:123" ht="15" customHeight="1" outlineLevel="1" x14ac:dyDescent="0.25">
      <c r="A38" s="4" t="s">
        <v>233</v>
      </c>
      <c r="B38" s="5" t="s">
        <v>58</v>
      </c>
      <c r="C38" s="17"/>
      <c r="D38" s="17"/>
      <c r="E38" s="569"/>
      <c r="F38" s="408"/>
      <c r="G38" s="408"/>
      <c r="H38" s="408"/>
      <c r="I38" s="408"/>
      <c r="J38" s="408"/>
      <c r="K38" s="29"/>
      <c r="L38" s="604"/>
      <c r="M38" s="569"/>
      <c r="N38" s="408">
        <f t="shared" si="0"/>
        <v>0</v>
      </c>
      <c r="O38" s="408"/>
      <c r="P38" s="408">
        <f t="shared" si="0"/>
        <v>0</v>
      </c>
      <c r="Q38" s="424"/>
      <c r="R38" s="408">
        <f t="shared" si="0"/>
        <v>0</v>
      </c>
      <c r="S38" s="29"/>
      <c r="T38" s="483"/>
      <c r="U38" s="27">
        <v>0</v>
      </c>
      <c r="V38" s="408">
        <f t="shared" si="1"/>
        <v>0</v>
      </c>
      <c r="W38" s="408"/>
      <c r="X38" s="408">
        <f t="shared" si="2"/>
        <v>0</v>
      </c>
      <c r="Y38" s="408"/>
      <c r="Z38" s="408"/>
      <c r="AA38" s="29"/>
      <c r="AB38" s="17"/>
      <c r="AC38" s="27">
        <v>0</v>
      </c>
      <c r="AD38" s="408">
        <v>0</v>
      </c>
      <c r="AE38" s="408">
        <v>0</v>
      </c>
      <c r="AF38" s="408">
        <v>0</v>
      </c>
      <c r="AG38" s="408">
        <v>0</v>
      </c>
      <c r="AH38" s="408">
        <f t="shared" si="4"/>
        <v>0</v>
      </c>
      <c r="AI38" s="29">
        <v>0</v>
      </c>
      <c r="AJ38" s="17"/>
      <c r="AK38" s="27">
        <v>0</v>
      </c>
      <c r="AL38" s="408">
        <v>0</v>
      </c>
      <c r="AM38" s="408">
        <v>0</v>
      </c>
      <c r="AN38" s="408">
        <v>0</v>
      </c>
      <c r="AO38" s="408">
        <v>0</v>
      </c>
      <c r="AP38" s="408">
        <v>0</v>
      </c>
      <c r="AQ38" s="29">
        <v>0</v>
      </c>
      <c r="AR38" s="17"/>
      <c r="AS38" s="27">
        <v>0</v>
      </c>
      <c r="AT38" s="28">
        <v>0</v>
      </c>
      <c r="AU38" s="28">
        <v>0</v>
      </c>
      <c r="AV38" s="28">
        <v>0</v>
      </c>
      <c r="AW38" s="28">
        <v>0</v>
      </c>
      <c r="AX38" s="28">
        <v>0</v>
      </c>
      <c r="AY38" s="29">
        <v>0</v>
      </c>
      <c r="AZ38" s="17"/>
      <c r="BA38" s="27">
        <v>0</v>
      </c>
      <c r="BB38" s="28">
        <v>0</v>
      </c>
      <c r="BC38" s="28">
        <v>0</v>
      </c>
      <c r="BD38" s="28">
        <v>0</v>
      </c>
      <c r="BE38" s="28">
        <v>0</v>
      </c>
      <c r="BF38" s="28">
        <v>0</v>
      </c>
      <c r="BG38" s="29">
        <v>0</v>
      </c>
      <c r="BH38" s="17"/>
      <c r="BI38" s="27">
        <v>0</v>
      </c>
      <c r="BJ38" s="28">
        <v>-2</v>
      </c>
      <c r="BK38" s="28">
        <v>-2</v>
      </c>
      <c r="BL38" s="28">
        <v>2</v>
      </c>
      <c r="BM38" s="28">
        <v>0</v>
      </c>
      <c r="BN38" s="28">
        <v>0</v>
      </c>
      <c r="BO38" s="29">
        <v>0</v>
      </c>
      <c r="BP38" s="17"/>
      <c r="BQ38" s="27">
        <v>0</v>
      </c>
      <c r="BR38" s="28">
        <v>0</v>
      </c>
      <c r="BS38" s="28">
        <v>0</v>
      </c>
      <c r="BT38" s="28">
        <v>0</v>
      </c>
      <c r="BU38" s="28">
        <v>0</v>
      </c>
      <c r="BV38" s="28">
        <v>0</v>
      </c>
      <c r="BW38" s="29">
        <v>0</v>
      </c>
      <c r="BX38" s="6"/>
      <c r="BY38" s="27">
        <v>0</v>
      </c>
      <c r="BZ38" s="28">
        <v>0</v>
      </c>
      <c r="CA38" s="28">
        <v>0</v>
      </c>
      <c r="CB38" s="28">
        <v>0</v>
      </c>
      <c r="CC38" s="28">
        <v>0</v>
      </c>
      <c r="CD38" s="28">
        <v>0</v>
      </c>
      <c r="CE38" s="29">
        <v>0</v>
      </c>
      <c r="CF38" s="6"/>
      <c r="CG38" s="27">
        <v>0</v>
      </c>
      <c r="CH38" s="28">
        <v>0</v>
      </c>
      <c r="CI38" s="36">
        <v>0</v>
      </c>
      <c r="CJ38" s="28">
        <v>0</v>
      </c>
      <c r="CK38" s="22">
        <v>0</v>
      </c>
      <c r="CL38" s="28">
        <v>0</v>
      </c>
      <c r="CM38" s="37">
        <v>0</v>
      </c>
      <c r="CN38" s="30"/>
      <c r="CO38" s="27">
        <v>0</v>
      </c>
      <c r="CP38" s="28">
        <v>43</v>
      </c>
      <c r="CQ38" s="36">
        <v>43</v>
      </c>
      <c r="CR38" s="28">
        <v>-20</v>
      </c>
      <c r="CS38" s="22">
        <v>23</v>
      </c>
      <c r="CT38" s="28">
        <v>0</v>
      </c>
      <c r="CU38" s="37">
        <v>23</v>
      </c>
      <c r="CV38" s="30"/>
      <c r="CW38" s="27">
        <v>0</v>
      </c>
      <c r="CX38" s="28">
        <v>0</v>
      </c>
      <c r="CY38" s="36">
        <v>0</v>
      </c>
      <c r="CZ38" s="28">
        <v>0</v>
      </c>
      <c r="DA38" s="22">
        <v>0</v>
      </c>
      <c r="DB38" s="28">
        <v>0</v>
      </c>
      <c r="DC38" s="37">
        <v>0</v>
      </c>
      <c r="DD38" s="30"/>
      <c r="DE38" s="27">
        <v>0</v>
      </c>
      <c r="DF38" s="28">
        <v>0</v>
      </c>
      <c r="DG38" s="36">
        <v>0</v>
      </c>
      <c r="DH38" s="28">
        <v>15</v>
      </c>
      <c r="DI38" s="22">
        <v>15</v>
      </c>
      <c r="DJ38" s="28">
        <v>1</v>
      </c>
      <c r="DK38" s="37">
        <v>16</v>
      </c>
      <c r="DL38" s="30"/>
      <c r="DM38" s="27">
        <v>0</v>
      </c>
      <c r="DN38" s="28">
        <v>0</v>
      </c>
      <c r="DO38" s="36">
        <v>0</v>
      </c>
      <c r="DP38" s="28">
        <v>0</v>
      </c>
      <c r="DQ38" s="22">
        <v>0</v>
      </c>
      <c r="DR38" s="28">
        <v>0</v>
      </c>
      <c r="DS38" s="37">
        <v>0</v>
      </c>
    </row>
    <row r="39" spans="1:123" ht="15" customHeight="1" outlineLevel="1" x14ac:dyDescent="0.25">
      <c r="A39" s="4" t="s">
        <v>59</v>
      </c>
      <c r="B39" s="5" t="s">
        <v>59</v>
      </c>
      <c r="C39" s="17"/>
      <c r="D39" s="17"/>
      <c r="E39" s="569">
        <v>259</v>
      </c>
      <c r="F39" s="408">
        <v>247</v>
      </c>
      <c r="G39" s="408">
        <v>506</v>
      </c>
      <c r="H39" s="408">
        <v>232</v>
      </c>
      <c r="I39" s="408">
        <v>738</v>
      </c>
      <c r="J39" s="408"/>
      <c r="K39" s="29"/>
      <c r="L39" s="604"/>
      <c r="M39" s="569">
        <v>312</v>
      </c>
      <c r="N39" s="408">
        <f t="shared" si="0"/>
        <v>312</v>
      </c>
      <c r="O39" s="408">
        <v>624</v>
      </c>
      <c r="P39" s="408">
        <f t="shared" si="0"/>
        <v>312</v>
      </c>
      <c r="Q39" s="424">
        <v>936</v>
      </c>
      <c r="R39" s="408">
        <f t="shared" si="0"/>
        <v>278</v>
      </c>
      <c r="S39" s="29">
        <v>1214</v>
      </c>
      <c r="T39" s="483"/>
      <c r="U39" s="27">
        <v>413</v>
      </c>
      <c r="V39" s="408">
        <f t="shared" si="1"/>
        <v>379</v>
      </c>
      <c r="W39" s="408">
        <v>792</v>
      </c>
      <c r="X39" s="408">
        <f t="shared" si="2"/>
        <v>362</v>
      </c>
      <c r="Y39" s="408">
        <v>1154</v>
      </c>
      <c r="Z39" s="408">
        <f t="shared" si="3"/>
        <v>325</v>
      </c>
      <c r="AA39" s="29">
        <v>1479</v>
      </c>
      <c r="AB39" s="17"/>
      <c r="AC39" s="27">
        <v>404</v>
      </c>
      <c r="AD39" s="408">
        <v>403</v>
      </c>
      <c r="AE39" s="408">
        <v>807</v>
      </c>
      <c r="AF39" s="408">
        <v>434</v>
      </c>
      <c r="AG39" s="408">
        <v>1241</v>
      </c>
      <c r="AH39" s="408">
        <f t="shared" si="4"/>
        <v>452</v>
      </c>
      <c r="AI39" s="29">
        <v>1693</v>
      </c>
      <c r="AJ39" s="17"/>
      <c r="AK39" s="27">
        <v>207</v>
      </c>
      <c r="AL39" s="408">
        <v>210</v>
      </c>
      <c r="AM39" s="408">
        <v>417</v>
      </c>
      <c r="AN39" s="408">
        <v>331</v>
      </c>
      <c r="AO39" s="408">
        <v>748</v>
      </c>
      <c r="AP39" s="408">
        <v>408</v>
      </c>
      <c r="AQ39" s="29">
        <v>1156</v>
      </c>
      <c r="AR39" s="17"/>
      <c r="AS39" s="27">
        <v>225</v>
      </c>
      <c r="AT39" s="28">
        <v>187</v>
      </c>
      <c r="AU39" s="28">
        <v>412</v>
      </c>
      <c r="AV39" s="28">
        <v>208</v>
      </c>
      <c r="AW39" s="28">
        <v>620</v>
      </c>
      <c r="AX39" s="28">
        <v>208</v>
      </c>
      <c r="AY39" s="29">
        <v>828</v>
      </c>
      <c r="AZ39" s="17"/>
      <c r="BA39" s="27">
        <v>271</v>
      </c>
      <c r="BB39" s="28">
        <v>232</v>
      </c>
      <c r="BC39" s="28">
        <v>503</v>
      </c>
      <c r="BD39" s="28">
        <v>230</v>
      </c>
      <c r="BE39" s="28">
        <v>733</v>
      </c>
      <c r="BF39" s="28">
        <v>136</v>
      </c>
      <c r="BG39" s="29">
        <v>869</v>
      </c>
      <c r="BH39" s="17"/>
      <c r="BI39" s="27">
        <v>121</v>
      </c>
      <c r="BJ39" s="28">
        <v>200</v>
      </c>
      <c r="BK39" s="28">
        <v>321</v>
      </c>
      <c r="BL39" s="28">
        <v>200</v>
      </c>
      <c r="BM39" s="28">
        <v>521</v>
      </c>
      <c r="BN39" s="28">
        <v>177</v>
      </c>
      <c r="BO39" s="29">
        <v>698</v>
      </c>
      <c r="BP39" s="17"/>
      <c r="BQ39" s="27">
        <v>195</v>
      </c>
      <c r="BR39" s="28">
        <v>195</v>
      </c>
      <c r="BS39" s="28">
        <v>390</v>
      </c>
      <c r="BT39" s="28">
        <v>195</v>
      </c>
      <c r="BU39" s="28">
        <v>585</v>
      </c>
      <c r="BV39" s="28">
        <v>92</v>
      </c>
      <c r="BW39" s="29">
        <v>677</v>
      </c>
      <c r="BX39" s="6"/>
      <c r="BY39" s="27">
        <v>170</v>
      </c>
      <c r="BZ39" s="28">
        <v>188</v>
      </c>
      <c r="CA39" s="28">
        <v>358</v>
      </c>
      <c r="CB39" s="28">
        <v>176</v>
      </c>
      <c r="CC39" s="28">
        <v>534</v>
      </c>
      <c r="CD39" s="28">
        <v>194</v>
      </c>
      <c r="CE39" s="29">
        <v>728</v>
      </c>
      <c r="CF39" s="6"/>
      <c r="CG39" s="27">
        <v>135</v>
      </c>
      <c r="CH39" s="28">
        <v>135</v>
      </c>
      <c r="CI39" s="36">
        <v>270</v>
      </c>
      <c r="CJ39" s="28">
        <v>135</v>
      </c>
      <c r="CK39" s="22">
        <v>405</v>
      </c>
      <c r="CL39" s="28">
        <v>256</v>
      </c>
      <c r="CM39" s="37">
        <v>661</v>
      </c>
      <c r="CN39" s="30"/>
      <c r="CO39" s="27">
        <v>201</v>
      </c>
      <c r="CP39" s="28">
        <v>178</v>
      </c>
      <c r="CQ39" s="36">
        <v>379</v>
      </c>
      <c r="CR39" s="28">
        <v>120</v>
      </c>
      <c r="CS39" s="22">
        <v>499</v>
      </c>
      <c r="CT39" s="28">
        <v>107</v>
      </c>
      <c r="CU39" s="37">
        <v>606</v>
      </c>
      <c r="CV39" s="30"/>
      <c r="CW39" s="27">
        <v>111</v>
      </c>
      <c r="CX39" s="28">
        <v>111</v>
      </c>
      <c r="CY39" s="36">
        <v>222</v>
      </c>
      <c r="CZ39" s="28">
        <v>111</v>
      </c>
      <c r="DA39" s="22">
        <v>333</v>
      </c>
      <c r="DB39" s="28">
        <v>132</v>
      </c>
      <c r="DC39" s="37">
        <v>465</v>
      </c>
      <c r="DD39" s="30"/>
      <c r="DE39" s="27">
        <v>68</v>
      </c>
      <c r="DF39" s="28">
        <v>110</v>
      </c>
      <c r="DG39" s="36">
        <v>178</v>
      </c>
      <c r="DH39" s="28">
        <v>130</v>
      </c>
      <c r="DI39" s="22">
        <v>308</v>
      </c>
      <c r="DJ39" s="28">
        <v>72</v>
      </c>
      <c r="DK39" s="37">
        <v>380</v>
      </c>
      <c r="DL39" s="30"/>
      <c r="DM39" s="27">
        <v>0</v>
      </c>
      <c r="DN39" s="28">
        <v>0</v>
      </c>
      <c r="DO39" s="36">
        <v>0</v>
      </c>
      <c r="DP39" s="28">
        <v>0</v>
      </c>
      <c r="DQ39" s="22">
        <v>0</v>
      </c>
      <c r="DR39" s="28">
        <v>46</v>
      </c>
      <c r="DS39" s="37">
        <v>46</v>
      </c>
    </row>
    <row r="40" spans="1:123" ht="15" customHeight="1" outlineLevel="1" x14ac:dyDescent="0.25">
      <c r="A40" s="4" t="s">
        <v>71</v>
      </c>
      <c r="B40" s="5" t="s">
        <v>71</v>
      </c>
      <c r="C40" s="17"/>
      <c r="D40" s="17"/>
      <c r="E40" s="569">
        <v>0</v>
      </c>
      <c r="F40" s="408">
        <v>0</v>
      </c>
      <c r="G40" s="405">
        <v>0</v>
      </c>
      <c r="H40" s="408">
        <v>0</v>
      </c>
      <c r="I40" s="405">
        <v>0</v>
      </c>
      <c r="J40" s="405"/>
      <c r="K40" s="23"/>
      <c r="L40" s="604"/>
      <c r="M40" s="569">
        <v>0</v>
      </c>
      <c r="N40" s="405">
        <f t="shared" si="0"/>
        <v>0</v>
      </c>
      <c r="O40" s="405">
        <v>0</v>
      </c>
      <c r="P40" s="405">
        <f t="shared" si="0"/>
        <v>0</v>
      </c>
      <c r="Q40" s="424">
        <v>0</v>
      </c>
      <c r="R40" s="405">
        <f t="shared" si="0"/>
        <v>0</v>
      </c>
      <c r="S40" s="23">
        <v>0</v>
      </c>
      <c r="T40" s="483"/>
      <c r="U40" s="24">
        <v>0</v>
      </c>
      <c r="V40" s="405">
        <f t="shared" si="1"/>
        <v>0</v>
      </c>
      <c r="W40" s="405"/>
      <c r="X40" s="405">
        <f t="shared" si="2"/>
        <v>0</v>
      </c>
      <c r="Y40" s="405">
        <v>0</v>
      </c>
      <c r="Z40" s="405">
        <f>AA40-Y40</f>
        <v>20552</v>
      </c>
      <c r="AA40" s="23">
        <v>20552</v>
      </c>
      <c r="AB40" s="17"/>
      <c r="AC40" s="24">
        <v>0</v>
      </c>
      <c r="AD40" s="405">
        <v>0</v>
      </c>
      <c r="AE40" s="405">
        <v>0</v>
      </c>
      <c r="AF40" s="405">
        <v>0</v>
      </c>
      <c r="AG40" s="405">
        <v>0</v>
      </c>
      <c r="AH40" s="405">
        <f t="shared" si="4"/>
        <v>0</v>
      </c>
      <c r="AI40" s="23">
        <v>0</v>
      </c>
      <c r="AJ40" s="17"/>
      <c r="AK40" s="24">
        <v>0</v>
      </c>
      <c r="AL40" s="405">
        <v>0</v>
      </c>
      <c r="AM40" s="405">
        <v>0</v>
      </c>
      <c r="AN40" s="405">
        <v>0</v>
      </c>
      <c r="AO40" s="405">
        <v>0</v>
      </c>
      <c r="AP40" s="405">
        <v>0</v>
      </c>
      <c r="AQ40" s="23">
        <v>0</v>
      </c>
      <c r="AR40" s="17"/>
      <c r="AS40" s="24">
        <v>0</v>
      </c>
      <c r="AT40" s="22">
        <v>0</v>
      </c>
      <c r="AU40" s="22">
        <v>0</v>
      </c>
      <c r="AV40" s="22">
        <v>0</v>
      </c>
      <c r="AW40" s="22">
        <v>0</v>
      </c>
      <c r="AX40" s="22">
        <v>0</v>
      </c>
      <c r="AY40" s="23">
        <v>0</v>
      </c>
      <c r="AZ40" s="17"/>
      <c r="BA40" s="24">
        <v>0</v>
      </c>
      <c r="BB40" s="22">
        <v>0</v>
      </c>
      <c r="BC40" s="22">
        <v>0</v>
      </c>
      <c r="BD40" s="22">
        <v>0</v>
      </c>
      <c r="BE40" s="22">
        <v>0</v>
      </c>
      <c r="BF40" s="22">
        <v>0</v>
      </c>
      <c r="BG40" s="23">
        <v>0</v>
      </c>
      <c r="BH40" s="17"/>
      <c r="BI40" s="24">
        <v>0</v>
      </c>
      <c r="BJ40" s="22">
        <v>0</v>
      </c>
      <c r="BK40" s="22">
        <v>0</v>
      </c>
      <c r="BL40" s="22">
        <v>0</v>
      </c>
      <c r="BM40" s="22">
        <v>0</v>
      </c>
      <c r="BN40" s="22">
        <v>0</v>
      </c>
      <c r="BO40" s="23">
        <v>0</v>
      </c>
      <c r="BP40" s="17"/>
      <c r="BQ40" s="24">
        <v>0</v>
      </c>
      <c r="BR40" s="22">
        <v>0</v>
      </c>
      <c r="BS40" s="22">
        <v>0</v>
      </c>
      <c r="BT40" s="22">
        <v>0</v>
      </c>
      <c r="BU40" s="22">
        <v>0</v>
      </c>
      <c r="BV40" s="22">
        <v>5899</v>
      </c>
      <c r="BW40" s="23">
        <v>5899</v>
      </c>
      <c r="BX40" s="6"/>
      <c r="BY40" s="24">
        <v>0</v>
      </c>
      <c r="BZ40" s="22">
        <v>0</v>
      </c>
      <c r="CA40" s="22">
        <v>0</v>
      </c>
      <c r="CB40" s="22">
        <v>0</v>
      </c>
      <c r="CC40" s="22">
        <v>0</v>
      </c>
      <c r="CD40" s="22">
        <v>0</v>
      </c>
      <c r="CE40" s="23">
        <v>0</v>
      </c>
      <c r="CF40" s="6"/>
      <c r="CG40" s="24">
        <v>0</v>
      </c>
      <c r="CH40" s="22">
        <v>0</v>
      </c>
      <c r="CI40" s="22">
        <v>0</v>
      </c>
      <c r="CJ40" s="22">
        <v>0</v>
      </c>
      <c r="CK40" s="22">
        <v>0</v>
      </c>
      <c r="CL40" s="22">
        <v>0</v>
      </c>
      <c r="CM40" s="23">
        <v>0</v>
      </c>
      <c r="CN40" s="30"/>
      <c r="CO40" s="24">
        <v>0</v>
      </c>
      <c r="CP40" s="22">
        <v>0</v>
      </c>
      <c r="CQ40" s="22">
        <v>0</v>
      </c>
      <c r="CR40" s="22">
        <v>0</v>
      </c>
      <c r="CS40" s="22">
        <v>0</v>
      </c>
      <c r="CT40" s="22">
        <v>0</v>
      </c>
      <c r="CU40" s="23">
        <v>0</v>
      </c>
      <c r="CV40" s="30"/>
      <c r="CW40" s="24">
        <v>0</v>
      </c>
      <c r="CX40" s="22">
        <v>0</v>
      </c>
      <c r="CY40" s="22">
        <v>0</v>
      </c>
      <c r="CZ40" s="22">
        <v>0</v>
      </c>
      <c r="DA40" s="22">
        <v>0</v>
      </c>
      <c r="DB40" s="22">
        <v>0</v>
      </c>
      <c r="DC40" s="23">
        <v>0</v>
      </c>
      <c r="DD40" s="30"/>
      <c r="DE40" s="24">
        <v>0</v>
      </c>
      <c r="DF40" s="22">
        <v>0</v>
      </c>
      <c r="DG40" s="22">
        <v>0</v>
      </c>
      <c r="DH40" s="22">
        <v>0</v>
      </c>
      <c r="DI40" s="22">
        <v>0</v>
      </c>
      <c r="DJ40" s="22">
        <v>0</v>
      </c>
      <c r="DK40" s="23">
        <v>0</v>
      </c>
      <c r="DL40" s="30"/>
      <c r="DM40" s="24">
        <v>0</v>
      </c>
      <c r="DN40" s="22">
        <v>0</v>
      </c>
      <c r="DO40" s="22">
        <v>0</v>
      </c>
      <c r="DP40" s="22">
        <v>0</v>
      </c>
      <c r="DQ40" s="22">
        <v>0</v>
      </c>
      <c r="DR40" s="22">
        <v>0</v>
      </c>
      <c r="DS40" s="23">
        <v>0</v>
      </c>
    </row>
    <row r="41" spans="1:123" ht="15" customHeight="1" outlineLevel="1" x14ac:dyDescent="0.25">
      <c r="A41" s="4" t="s">
        <v>98</v>
      </c>
      <c r="B41" s="5" t="s">
        <v>62</v>
      </c>
      <c r="C41" s="17"/>
      <c r="D41" s="17"/>
      <c r="E41" s="569">
        <v>0</v>
      </c>
      <c r="F41" s="408">
        <v>0</v>
      </c>
      <c r="G41" s="408">
        <v>0</v>
      </c>
      <c r="H41" s="408">
        <v>0</v>
      </c>
      <c r="I41" s="408">
        <v>0</v>
      </c>
      <c r="J41" s="408"/>
      <c r="K41" s="29"/>
      <c r="L41" s="604"/>
      <c r="M41" s="569">
        <v>0</v>
      </c>
      <c r="N41" s="408">
        <f t="shared" si="0"/>
        <v>0</v>
      </c>
      <c r="O41" s="408">
        <v>0</v>
      </c>
      <c r="P41" s="408">
        <f t="shared" si="0"/>
        <v>0</v>
      </c>
      <c r="Q41" s="424">
        <v>0</v>
      </c>
      <c r="R41" s="408">
        <f t="shared" si="0"/>
        <v>321</v>
      </c>
      <c r="S41" s="29">
        <v>321</v>
      </c>
      <c r="T41" s="483"/>
      <c r="U41" s="27">
        <v>0</v>
      </c>
      <c r="V41" s="408">
        <f t="shared" si="1"/>
        <v>0</v>
      </c>
      <c r="W41" s="408"/>
      <c r="X41" s="408">
        <f t="shared" si="2"/>
        <v>0</v>
      </c>
      <c r="Y41" s="408">
        <v>0</v>
      </c>
      <c r="Z41" s="408">
        <v>0</v>
      </c>
      <c r="AA41" s="29">
        <v>0</v>
      </c>
      <c r="AB41" s="17"/>
      <c r="AC41" s="27">
        <v>0</v>
      </c>
      <c r="AD41" s="408">
        <v>0</v>
      </c>
      <c r="AE41" s="408">
        <v>0</v>
      </c>
      <c r="AF41" s="408">
        <v>0</v>
      </c>
      <c r="AG41" s="408">
        <v>0</v>
      </c>
      <c r="AH41" s="408">
        <f t="shared" si="4"/>
        <v>0</v>
      </c>
      <c r="AI41" s="29">
        <v>0</v>
      </c>
      <c r="AJ41" s="17"/>
      <c r="AK41" s="27">
        <v>0</v>
      </c>
      <c r="AL41" s="408">
        <v>0</v>
      </c>
      <c r="AM41" s="408">
        <v>0</v>
      </c>
      <c r="AN41" s="408">
        <v>0</v>
      </c>
      <c r="AO41" s="408">
        <v>0</v>
      </c>
      <c r="AP41" s="408">
        <v>0</v>
      </c>
      <c r="AQ41" s="29">
        <v>0</v>
      </c>
      <c r="AR41" s="17"/>
      <c r="AS41" s="27">
        <v>0</v>
      </c>
      <c r="AT41" s="28">
        <v>0</v>
      </c>
      <c r="AU41" s="28">
        <v>0</v>
      </c>
      <c r="AV41" s="28">
        <v>0</v>
      </c>
      <c r="AW41" s="28">
        <v>0</v>
      </c>
      <c r="AX41" s="28">
        <v>0</v>
      </c>
      <c r="AY41" s="29">
        <v>0</v>
      </c>
      <c r="AZ41" s="17"/>
      <c r="BA41" s="27">
        <v>0</v>
      </c>
      <c r="BB41" s="28">
        <v>0</v>
      </c>
      <c r="BC41" s="28">
        <v>0</v>
      </c>
      <c r="BD41" s="28">
        <v>0</v>
      </c>
      <c r="BE41" s="28">
        <v>0</v>
      </c>
      <c r="BF41" s="28">
        <v>0</v>
      </c>
      <c r="BG41" s="29">
        <v>0</v>
      </c>
      <c r="BH41" s="17"/>
      <c r="BI41" s="27">
        <v>0</v>
      </c>
      <c r="BJ41" s="28">
        <v>0</v>
      </c>
      <c r="BK41" s="28">
        <v>0</v>
      </c>
      <c r="BL41" s="28">
        <v>0</v>
      </c>
      <c r="BM41" s="28">
        <v>0</v>
      </c>
      <c r="BN41" s="28">
        <v>0</v>
      </c>
      <c r="BO41" s="29">
        <v>0</v>
      </c>
      <c r="BP41" s="17"/>
      <c r="BQ41" s="27">
        <v>300</v>
      </c>
      <c r="BR41" s="28">
        <v>499</v>
      </c>
      <c r="BS41" s="28">
        <v>799</v>
      </c>
      <c r="BT41" s="28">
        <v>0</v>
      </c>
      <c r="BU41" s="28">
        <v>799</v>
      </c>
      <c r="BV41" s="28">
        <v>0</v>
      </c>
      <c r="BW41" s="29">
        <v>799</v>
      </c>
      <c r="BX41" s="6"/>
      <c r="BY41" s="27">
        <v>0</v>
      </c>
      <c r="BZ41" s="28">
        <v>0</v>
      </c>
      <c r="CA41" s="28">
        <v>0</v>
      </c>
      <c r="CB41" s="28">
        <v>0</v>
      </c>
      <c r="CC41" s="28">
        <v>0</v>
      </c>
      <c r="CD41" s="28">
        <v>0</v>
      </c>
      <c r="CE41" s="29">
        <v>0</v>
      </c>
      <c r="CF41" s="6"/>
      <c r="CG41" s="27">
        <v>0</v>
      </c>
      <c r="CH41" s="28">
        <v>0</v>
      </c>
      <c r="CI41" s="36">
        <v>0</v>
      </c>
      <c r="CJ41" s="28">
        <v>0</v>
      </c>
      <c r="CK41" s="22">
        <v>0</v>
      </c>
      <c r="CL41" s="28">
        <v>0</v>
      </c>
      <c r="CM41" s="37">
        <v>0</v>
      </c>
      <c r="CN41" s="30"/>
      <c r="CO41" s="27">
        <v>0</v>
      </c>
      <c r="CP41" s="28">
        <v>0</v>
      </c>
      <c r="CQ41" s="36">
        <v>0</v>
      </c>
      <c r="CR41" s="28">
        <v>0</v>
      </c>
      <c r="CS41" s="22">
        <v>0</v>
      </c>
      <c r="CT41" s="28">
        <v>0</v>
      </c>
      <c r="CU41" s="37">
        <v>0</v>
      </c>
      <c r="CV41" s="30"/>
      <c r="CW41" s="27">
        <v>0</v>
      </c>
      <c r="CX41" s="28">
        <v>0</v>
      </c>
      <c r="CY41" s="36">
        <v>0</v>
      </c>
      <c r="CZ41" s="28">
        <v>0</v>
      </c>
      <c r="DA41" s="22">
        <v>0</v>
      </c>
      <c r="DB41" s="28">
        <v>0</v>
      </c>
      <c r="DC41" s="37">
        <v>0</v>
      </c>
      <c r="DD41" s="30"/>
      <c r="DE41" s="27">
        <v>0</v>
      </c>
      <c r="DF41" s="28">
        <v>0</v>
      </c>
      <c r="DG41" s="36">
        <v>0</v>
      </c>
      <c r="DH41" s="28">
        <v>0</v>
      </c>
      <c r="DI41" s="22">
        <v>0</v>
      </c>
      <c r="DJ41" s="28">
        <v>461</v>
      </c>
      <c r="DK41" s="37">
        <v>461</v>
      </c>
      <c r="DL41" s="30"/>
      <c r="DM41" s="27">
        <v>0</v>
      </c>
      <c r="DN41" s="28">
        <v>0</v>
      </c>
      <c r="DO41" s="36">
        <v>0</v>
      </c>
      <c r="DP41" s="28">
        <v>2046</v>
      </c>
      <c r="DQ41" s="22">
        <v>2046</v>
      </c>
      <c r="DR41" s="28">
        <v>-1</v>
      </c>
      <c r="DS41" s="37">
        <v>2045</v>
      </c>
    </row>
    <row r="42" spans="1:123" ht="15" customHeight="1" outlineLevel="1" x14ac:dyDescent="0.25">
      <c r="B42" s="5" t="s">
        <v>63</v>
      </c>
      <c r="C42" s="17"/>
      <c r="D42" s="17"/>
      <c r="E42" s="569">
        <v>0</v>
      </c>
      <c r="F42" s="408">
        <v>0</v>
      </c>
      <c r="G42" s="408">
        <v>0</v>
      </c>
      <c r="H42" s="408">
        <v>0</v>
      </c>
      <c r="I42" s="408">
        <v>0</v>
      </c>
      <c r="J42" s="408"/>
      <c r="K42" s="29"/>
      <c r="L42" s="604"/>
      <c r="M42" s="569">
        <v>0</v>
      </c>
      <c r="N42" s="408">
        <f t="shared" si="0"/>
        <v>0</v>
      </c>
      <c r="O42" s="408">
        <v>0</v>
      </c>
      <c r="P42" s="408">
        <f t="shared" si="0"/>
        <v>0</v>
      </c>
      <c r="Q42" s="424">
        <v>0</v>
      </c>
      <c r="R42" s="408">
        <f t="shared" si="0"/>
        <v>0</v>
      </c>
      <c r="S42" s="29">
        <v>0</v>
      </c>
      <c r="T42" s="483"/>
      <c r="U42" s="27">
        <v>0</v>
      </c>
      <c r="V42" s="408">
        <f t="shared" si="1"/>
        <v>0</v>
      </c>
      <c r="W42" s="408"/>
      <c r="X42" s="408">
        <f t="shared" si="2"/>
        <v>0</v>
      </c>
      <c r="Y42" s="408">
        <v>0</v>
      </c>
      <c r="Z42" s="408">
        <v>0</v>
      </c>
      <c r="AA42" s="29">
        <v>0</v>
      </c>
      <c r="AB42" s="17"/>
      <c r="AC42" s="27">
        <v>0</v>
      </c>
      <c r="AD42" s="408">
        <v>0</v>
      </c>
      <c r="AE42" s="408">
        <v>0</v>
      </c>
      <c r="AF42" s="408">
        <v>0</v>
      </c>
      <c r="AG42" s="408">
        <v>0</v>
      </c>
      <c r="AH42" s="408">
        <f t="shared" si="4"/>
        <v>0</v>
      </c>
      <c r="AI42" s="29">
        <v>0</v>
      </c>
      <c r="AJ42" s="17"/>
      <c r="AK42" s="27">
        <v>0</v>
      </c>
      <c r="AL42" s="408">
        <v>0</v>
      </c>
      <c r="AM42" s="408">
        <v>0</v>
      </c>
      <c r="AN42" s="408">
        <v>0</v>
      </c>
      <c r="AO42" s="408">
        <v>0</v>
      </c>
      <c r="AP42" s="408">
        <v>0</v>
      </c>
      <c r="AQ42" s="29">
        <v>0</v>
      </c>
      <c r="AR42" s="17"/>
      <c r="AS42" s="27">
        <v>0</v>
      </c>
      <c r="AT42" s="28">
        <v>0</v>
      </c>
      <c r="AU42" s="28">
        <v>0</v>
      </c>
      <c r="AV42" s="28">
        <v>0</v>
      </c>
      <c r="AW42" s="28">
        <v>0</v>
      </c>
      <c r="AX42" s="28">
        <v>0</v>
      </c>
      <c r="AY42" s="29">
        <v>0</v>
      </c>
      <c r="AZ42" s="17"/>
      <c r="BA42" s="27">
        <v>0</v>
      </c>
      <c r="BB42" s="28">
        <v>0</v>
      </c>
      <c r="BC42" s="28">
        <v>0</v>
      </c>
      <c r="BD42" s="28">
        <v>0</v>
      </c>
      <c r="BE42" s="28">
        <v>0</v>
      </c>
      <c r="BF42" s="28">
        <v>0</v>
      </c>
      <c r="BG42" s="29">
        <v>0</v>
      </c>
      <c r="BH42" s="17"/>
      <c r="BI42" s="27">
        <v>0</v>
      </c>
      <c r="BJ42" s="28">
        <v>0</v>
      </c>
      <c r="BK42" s="28">
        <v>0</v>
      </c>
      <c r="BL42" s="28">
        <v>0</v>
      </c>
      <c r="BM42" s="28">
        <v>0</v>
      </c>
      <c r="BN42" s="28">
        <v>-3780</v>
      </c>
      <c r="BO42" s="29">
        <v>-3780</v>
      </c>
      <c r="BP42" s="17"/>
      <c r="BQ42" s="27">
        <v>0</v>
      </c>
      <c r="BR42" s="28">
        <v>0</v>
      </c>
      <c r="BS42" s="28">
        <v>0</v>
      </c>
      <c r="BT42" s="28">
        <v>0</v>
      </c>
      <c r="BU42" s="28">
        <v>0</v>
      </c>
      <c r="BV42" s="28">
        <v>0</v>
      </c>
      <c r="BW42" s="29">
        <v>0</v>
      </c>
      <c r="BX42" s="6"/>
      <c r="BY42" s="27">
        <v>0</v>
      </c>
      <c r="BZ42" s="28">
        <v>0</v>
      </c>
      <c r="CA42" s="28">
        <v>0</v>
      </c>
      <c r="CB42" s="28">
        <v>0</v>
      </c>
      <c r="CC42" s="28">
        <v>0</v>
      </c>
      <c r="CD42" s="28">
        <v>0</v>
      </c>
      <c r="CE42" s="29">
        <v>0</v>
      </c>
      <c r="CF42" s="6"/>
      <c r="CG42" s="27">
        <v>0</v>
      </c>
      <c r="CH42" s="28">
        <v>0</v>
      </c>
      <c r="CI42" s="36">
        <v>0</v>
      </c>
      <c r="CJ42" s="28">
        <v>0</v>
      </c>
      <c r="CK42" s="22">
        <v>0</v>
      </c>
      <c r="CL42" s="28">
        <v>0</v>
      </c>
      <c r="CM42" s="37">
        <v>0</v>
      </c>
      <c r="CN42" s="30"/>
      <c r="CO42" s="27">
        <v>0</v>
      </c>
      <c r="CP42" s="28">
        <v>0</v>
      </c>
      <c r="CQ42" s="36">
        <v>0</v>
      </c>
      <c r="CR42" s="28">
        <v>0</v>
      </c>
      <c r="CS42" s="22">
        <v>0</v>
      </c>
      <c r="CT42" s="28">
        <v>0</v>
      </c>
      <c r="CU42" s="37">
        <v>0</v>
      </c>
      <c r="CV42" s="30"/>
      <c r="CW42" s="27">
        <v>0</v>
      </c>
      <c r="CX42" s="28">
        <v>0</v>
      </c>
      <c r="CY42" s="36">
        <v>0</v>
      </c>
      <c r="CZ42" s="28">
        <v>0</v>
      </c>
      <c r="DA42" s="22">
        <v>0</v>
      </c>
      <c r="DB42" s="28">
        <v>0</v>
      </c>
      <c r="DC42" s="37">
        <v>0</v>
      </c>
      <c r="DD42" s="30"/>
      <c r="DE42" s="27">
        <v>500</v>
      </c>
      <c r="DF42" s="28">
        <v>350</v>
      </c>
      <c r="DG42" s="36">
        <v>850</v>
      </c>
      <c r="DH42" s="28">
        <v>-1027</v>
      </c>
      <c r="DI42" s="22">
        <v>-177</v>
      </c>
      <c r="DJ42" s="28">
        <v>0</v>
      </c>
      <c r="DK42" s="37">
        <v>-177</v>
      </c>
      <c r="DL42" s="30"/>
      <c r="DM42" s="27">
        <v>0</v>
      </c>
      <c r="DN42" s="28">
        <v>0</v>
      </c>
      <c r="DO42" s="36">
        <v>0</v>
      </c>
      <c r="DP42" s="28">
        <v>0</v>
      </c>
      <c r="DQ42" s="22">
        <v>0</v>
      </c>
      <c r="DR42" s="28">
        <v>0</v>
      </c>
      <c r="DS42" s="37">
        <v>0</v>
      </c>
    </row>
    <row r="43" spans="1:123" ht="15" customHeight="1" outlineLevel="1" x14ac:dyDescent="0.25">
      <c r="A43" s="4" t="s">
        <v>157</v>
      </c>
      <c r="B43" s="5" t="s">
        <v>76</v>
      </c>
      <c r="C43" s="17"/>
      <c r="D43" s="17"/>
      <c r="E43" s="569">
        <v>0</v>
      </c>
      <c r="F43" s="408">
        <v>0</v>
      </c>
      <c r="G43" s="408">
        <v>0</v>
      </c>
      <c r="H43" s="408">
        <v>0</v>
      </c>
      <c r="I43" s="408">
        <v>0</v>
      </c>
      <c r="J43" s="408"/>
      <c r="K43" s="29"/>
      <c r="L43" s="604"/>
      <c r="M43" s="569">
        <v>0</v>
      </c>
      <c r="N43" s="408">
        <f t="shared" si="0"/>
        <v>0</v>
      </c>
      <c r="O43" s="408">
        <v>0</v>
      </c>
      <c r="P43" s="408">
        <f t="shared" si="0"/>
        <v>0</v>
      </c>
      <c r="Q43" s="424">
        <v>0</v>
      </c>
      <c r="R43" s="408">
        <f t="shared" si="0"/>
        <v>0</v>
      </c>
      <c r="S43" s="29">
        <v>0</v>
      </c>
      <c r="T43" s="483"/>
      <c r="U43" s="27">
        <v>0</v>
      </c>
      <c r="V43" s="408">
        <f t="shared" si="1"/>
        <v>0</v>
      </c>
      <c r="W43" s="408"/>
      <c r="X43" s="408">
        <f t="shared" si="2"/>
        <v>0</v>
      </c>
      <c r="Y43" s="408">
        <v>0</v>
      </c>
      <c r="Z43" s="408">
        <v>0</v>
      </c>
      <c r="AA43" s="29">
        <v>0</v>
      </c>
      <c r="AB43" s="17"/>
      <c r="AC43" s="27">
        <v>0</v>
      </c>
      <c r="AD43" s="408">
        <v>0</v>
      </c>
      <c r="AE43" s="408">
        <v>0</v>
      </c>
      <c r="AF43" s="408">
        <v>0</v>
      </c>
      <c r="AG43" s="408">
        <v>0</v>
      </c>
      <c r="AH43" s="408">
        <f t="shared" si="4"/>
        <v>0</v>
      </c>
      <c r="AI43" s="29">
        <v>0</v>
      </c>
      <c r="AJ43" s="17"/>
      <c r="AK43" s="27">
        <v>0</v>
      </c>
      <c r="AL43" s="408">
        <v>0</v>
      </c>
      <c r="AM43" s="408">
        <v>0</v>
      </c>
      <c r="AN43" s="408">
        <v>0</v>
      </c>
      <c r="AO43" s="408">
        <v>0</v>
      </c>
      <c r="AP43" s="408">
        <v>0</v>
      </c>
      <c r="AQ43" s="29">
        <v>0</v>
      </c>
      <c r="AR43" s="17"/>
      <c r="AS43" s="27">
        <v>0</v>
      </c>
      <c r="AT43" s="28">
        <v>0</v>
      </c>
      <c r="AU43" s="28">
        <v>0</v>
      </c>
      <c r="AV43" s="28">
        <v>0</v>
      </c>
      <c r="AW43" s="28">
        <v>0</v>
      </c>
      <c r="AX43" s="28">
        <v>0</v>
      </c>
      <c r="AY43" s="29">
        <v>0</v>
      </c>
      <c r="AZ43" s="17"/>
      <c r="BA43" s="27">
        <v>0</v>
      </c>
      <c r="BB43" s="28">
        <v>0</v>
      </c>
      <c r="BC43" s="28">
        <v>0</v>
      </c>
      <c r="BD43" s="28">
        <v>0</v>
      </c>
      <c r="BE43" s="28">
        <v>0</v>
      </c>
      <c r="BF43" s="28">
        <v>0</v>
      </c>
      <c r="BG43" s="29">
        <v>0</v>
      </c>
      <c r="BH43" s="17"/>
      <c r="BI43" s="27">
        <v>0</v>
      </c>
      <c r="BJ43" s="28">
        <v>0</v>
      </c>
      <c r="BK43" s="28">
        <v>0</v>
      </c>
      <c r="BL43" s="28">
        <v>0</v>
      </c>
      <c r="BM43" s="28">
        <v>0</v>
      </c>
      <c r="BN43" s="28">
        <v>0</v>
      </c>
      <c r="BO43" s="29">
        <v>0</v>
      </c>
      <c r="BP43" s="17"/>
      <c r="BQ43" s="27">
        <v>0</v>
      </c>
      <c r="BR43" s="28">
        <v>0</v>
      </c>
      <c r="BS43" s="28">
        <v>0</v>
      </c>
      <c r="BT43" s="28">
        <v>0</v>
      </c>
      <c r="BU43" s="28">
        <v>0</v>
      </c>
      <c r="BV43" s="28">
        <v>0</v>
      </c>
      <c r="BW43" s="29">
        <v>0</v>
      </c>
      <c r="BX43" s="6"/>
      <c r="BY43" s="27">
        <v>0</v>
      </c>
      <c r="BZ43" s="28">
        <v>0</v>
      </c>
      <c r="CA43" s="28">
        <v>0</v>
      </c>
      <c r="CB43" s="28">
        <v>0</v>
      </c>
      <c r="CC43" s="28">
        <v>0</v>
      </c>
      <c r="CD43" s="28">
        <v>0</v>
      </c>
      <c r="CE43" s="29">
        <v>0</v>
      </c>
      <c r="CF43" s="6"/>
      <c r="CG43" s="27">
        <v>0</v>
      </c>
      <c r="CH43" s="28">
        <v>0</v>
      </c>
      <c r="CI43" s="36">
        <v>0</v>
      </c>
      <c r="CJ43" s="28">
        <v>0</v>
      </c>
      <c r="CK43" s="22">
        <v>0</v>
      </c>
      <c r="CL43" s="28">
        <v>0</v>
      </c>
      <c r="CM43" s="37">
        <v>0</v>
      </c>
      <c r="CN43" s="30"/>
      <c r="CO43" s="27">
        <v>0</v>
      </c>
      <c r="CP43" s="28">
        <v>0</v>
      </c>
      <c r="CQ43" s="36">
        <v>0</v>
      </c>
      <c r="CR43" s="28">
        <v>0</v>
      </c>
      <c r="CS43" s="22">
        <v>0</v>
      </c>
      <c r="CT43" s="28">
        <v>0</v>
      </c>
      <c r="CU43" s="37">
        <v>0</v>
      </c>
      <c r="CV43" s="30"/>
      <c r="CW43" s="27">
        <v>0</v>
      </c>
      <c r="CX43" s="28">
        <v>0</v>
      </c>
      <c r="CY43" s="36">
        <v>0</v>
      </c>
      <c r="CZ43" s="28">
        <v>0</v>
      </c>
      <c r="DA43" s="22">
        <v>0</v>
      </c>
      <c r="DB43" s="28">
        <v>0</v>
      </c>
      <c r="DC43" s="37">
        <v>0</v>
      </c>
      <c r="DD43" s="30"/>
      <c r="DE43" s="27">
        <v>0</v>
      </c>
      <c r="DF43" s="28">
        <v>0</v>
      </c>
      <c r="DG43" s="36">
        <v>0</v>
      </c>
      <c r="DH43" s="28">
        <v>0</v>
      </c>
      <c r="DI43" s="22">
        <v>0</v>
      </c>
      <c r="DJ43" s="28">
        <v>0</v>
      </c>
      <c r="DK43" s="37">
        <v>0</v>
      </c>
      <c r="DL43" s="30"/>
      <c r="DM43" s="27">
        <v>0</v>
      </c>
      <c r="DN43" s="28">
        <v>0</v>
      </c>
      <c r="DO43" s="36">
        <v>0</v>
      </c>
      <c r="DP43" s="28">
        <v>0</v>
      </c>
      <c r="DQ43" s="22">
        <v>0</v>
      </c>
      <c r="DR43" s="28">
        <v>0</v>
      </c>
      <c r="DS43" s="37">
        <v>0</v>
      </c>
    </row>
    <row r="44" spans="1:123" ht="17.25" customHeight="1" outlineLevel="1" x14ac:dyDescent="0.4">
      <c r="A44" s="4" t="s">
        <v>163</v>
      </c>
      <c r="B44" s="5" t="s">
        <v>34</v>
      </c>
      <c r="C44" s="17"/>
      <c r="D44" s="17"/>
      <c r="E44" s="571">
        <v>-5.24</v>
      </c>
      <c r="F44" s="410">
        <v>0</v>
      </c>
      <c r="G44" s="410">
        <v>-5</v>
      </c>
      <c r="H44" s="410">
        <v>17</v>
      </c>
      <c r="I44" s="410">
        <v>12</v>
      </c>
      <c r="J44" s="410"/>
      <c r="K44" s="33"/>
      <c r="L44" s="604"/>
      <c r="M44" s="571">
        <v>0</v>
      </c>
      <c r="N44" s="410">
        <f t="shared" si="0"/>
        <v>29</v>
      </c>
      <c r="O44" s="410">
        <v>29</v>
      </c>
      <c r="P44" s="410">
        <f t="shared" si="0"/>
        <v>0</v>
      </c>
      <c r="Q44" s="428">
        <v>29</v>
      </c>
      <c r="R44" s="410">
        <f t="shared" si="0"/>
        <v>6.9279999999999973</v>
      </c>
      <c r="S44" s="33">
        <v>35.927999999999997</v>
      </c>
      <c r="T44" s="483"/>
      <c r="U44" s="31">
        <v>4</v>
      </c>
      <c r="V44" s="410">
        <f t="shared" si="1"/>
        <v>250</v>
      </c>
      <c r="W44" s="410">
        <v>254</v>
      </c>
      <c r="X44" s="410">
        <f t="shared" si="2"/>
        <v>0</v>
      </c>
      <c r="Y44" s="410">
        <v>254</v>
      </c>
      <c r="Z44" s="410">
        <f t="shared" si="3"/>
        <v>2</v>
      </c>
      <c r="AA44" s="33">
        <v>256</v>
      </c>
      <c r="AB44" s="17"/>
      <c r="AC44" s="31">
        <v>0</v>
      </c>
      <c r="AD44" s="410">
        <v>0</v>
      </c>
      <c r="AE44" s="410">
        <v>0</v>
      </c>
      <c r="AF44" s="410">
        <v>0</v>
      </c>
      <c r="AG44" s="410">
        <v>0</v>
      </c>
      <c r="AH44" s="410">
        <f t="shared" si="4"/>
        <v>0</v>
      </c>
      <c r="AI44" s="33">
        <v>0</v>
      </c>
      <c r="AJ44" s="17"/>
      <c r="AK44" s="31">
        <v>0</v>
      </c>
      <c r="AL44" s="410">
        <v>598</v>
      </c>
      <c r="AM44" s="410">
        <v>598</v>
      </c>
      <c r="AN44" s="410">
        <v>0</v>
      </c>
      <c r="AO44" s="410">
        <v>598</v>
      </c>
      <c r="AP44" s="410">
        <v>0</v>
      </c>
      <c r="AQ44" s="33">
        <v>598</v>
      </c>
      <c r="AR44" s="17"/>
      <c r="AS44" s="31">
        <v>0</v>
      </c>
      <c r="AT44" s="32">
        <v>-4</v>
      </c>
      <c r="AU44" s="32">
        <v>-4</v>
      </c>
      <c r="AV44" s="32">
        <v>-7</v>
      </c>
      <c r="AW44" s="32">
        <v>-11</v>
      </c>
      <c r="AX44" s="32">
        <v>0</v>
      </c>
      <c r="AY44" s="33">
        <v>-11</v>
      </c>
      <c r="AZ44" s="17"/>
      <c r="BA44" s="31">
        <v>0</v>
      </c>
      <c r="BB44" s="32">
        <v>0</v>
      </c>
      <c r="BC44" s="32">
        <v>0</v>
      </c>
      <c r="BD44" s="32">
        <v>0</v>
      </c>
      <c r="BE44" s="32">
        <v>0</v>
      </c>
      <c r="BF44" s="32">
        <v>0</v>
      </c>
      <c r="BG44" s="33">
        <v>0</v>
      </c>
      <c r="BH44" s="17"/>
      <c r="BI44" s="31">
        <v>0</v>
      </c>
      <c r="BJ44" s="32">
        <v>0</v>
      </c>
      <c r="BK44" s="32">
        <v>0</v>
      </c>
      <c r="BL44" s="32">
        <v>0</v>
      </c>
      <c r="BM44" s="32">
        <v>0</v>
      </c>
      <c r="BN44" s="32">
        <v>0</v>
      </c>
      <c r="BO44" s="33">
        <v>0</v>
      </c>
      <c r="BP44" s="17"/>
      <c r="BQ44" s="31">
        <v>0</v>
      </c>
      <c r="BR44" s="32">
        <v>6663</v>
      </c>
      <c r="BS44" s="32">
        <v>6663</v>
      </c>
      <c r="BT44" s="32">
        <v>549</v>
      </c>
      <c r="BU44" s="32">
        <v>7212</v>
      </c>
      <c r="BV44" s="32">
        <v>-7212</v>
      </c>
      <c r="BW44" s="33">
        <v>0</v>
      </c>
      <c r="BX44" s="6"/>
      <c r="BY44" s="31">
        <v>0</v>
      </c>
      <c r="BZ44" s="32">
        <v>0</v>
      </c>
      <c r="CA44" s="32">
        <v>0</v>
      </c>
      <c r="CB44" s="32">
        <v>0</v>
      </c>
      <c r="CC44" s="32">
        <v>0</v>
      </c>
      <c r="CD44" s="32">
        <v>0</v>
      </c>
      <c r="CE44" s="33">
        <v>0</v>
      </c>
      <c r="CF44" s="6"/>
      <c r="CG44" s="31">
        <v>0</v>
      </c>
      <c r="CH44" s="32">
        <v>0</v>
      </c>
      <c r="CI44" s="32">
        <v>0</v>
      </c>
      <c r="CJ44" s="32">
        <v>0</v>
      </c>
      <c r="CK44" s="32">
        <v>0</v>
      </c>
      <c r="CL44" s="32">
        <v>0</v>
      </c>
      <c r="CM44" s="33">
        <v>0</v>
      </c>
      <c r="CN44" s="30"/>
      <c r="CO44" s="31">
        <v>0</v>
      </c>
      <c r="CP44" s="32">
        <v>0</v>
      </c>
      <c r="CQ44" s="32">
        <v>0</v>
      </c>
      <c r="CR44" s="32">
        <v>0</v>
      </c>
      <c r="CS44" s="32">
        <v>0</v>
      </c>
      <c r="CT44" s="32">
        <v>0</v>
      </c>
      <c r="CU44" s="33">
        <v>0</v>
      </c>
      <c r="CV44" s="30"/>
      <c r="CW44" s="31">
        <v>0</v>
      </c>
      <c r="CX44" s="32">
        <v>0</v>
      </c>
      <c r="CY44" s="32">
        <v>0</v>
      </c>
      <c r="CZ44" s="32">
        <v>0</v>
      </c>
      <c r="DA44" s="32">
        <v>0</v>
      </c>
      <c r="DB44" s="32">
        <v>0</v>
      </c>
      <c r="DC44" s="33">
        <v>0</v>
      </c>
      <c r="DD44" s="30"/>
      <c r="DE44" s="31">
        <v>0</v>
      </c>
      <c r="DF44" s="32">
        <v>0</v>
      </c>
      <c r="DG44" s="32">
        <v>0</v>
      </c>
      <c r="DH44" s="32">
        <v>0</v>
      </c>
      <c r="DI44" s="32">
        <v>0</v>
      </c>
      <c r="DJ44" s="32">
        <v>0</v>
      </c>
      <c r="DK44" s="33">
        <v>0</v>
      </c>
      <c r="DL44" s="30"/>
      <c r="DM44" s="31">
        <v>0</v>
      </c>
      <c r="DN44" s="32">
        <v>0</v>
      </c>
      <c r="DO44" s="32">
        <v>0</v>
      </c>
      <c r="DP44" s="32">
        <v>0</v>
      </c>
      <c r="DQ44" s="32">
        <v>0</v>
      </c>
      <c r="DR44" s="32">
        <v>-63</v>
      </c>
      <c r="DS44" s="33">
        <v>-63</v>
      </c>
    </row>
    <row r="45" spans="1:123" s="14" customFormat="1" x14ac:dyDescent="0.25">
      <c r="A45" s="4" t="s">
        <v>65</v>
      </c>
      <c r="B45" s="16" t="s">
        <v>65</v>
      </c>
      <c r="C45" s="17"/>
      <c r="D45" s="17"/>
      <c r="E45" s="567">
        <f>SUM(E37:E44)</f>
        <v>1420.76</v>
      </c>
      <c r="F45" s="608">
        <f t="shared" ref="F45:G45" si="15">SUM(F37:F44)</f>
        <v>4973</v>
      </c>
      <c r="G45" s="608">
        <f t="shared" si="15"/>
        <v>6395</v>
      </c>
      <c r="H45" s="608">
        <f t="shared" ref="H45:I45" si="16">SUM(H37:H44)</f>
        <v>1325</v>
      </c>
      <c r="I45" s="608">
        <f t="shared" si="16"/>
        <v>7720</v>
      </c>
      <c r="J45" s="406"/>
      <c r="K45" s="21"/>
      <c r="L45" s="604"/>
      <c r="M45" s="567">
        <v>2714</v>
      </c>
      <c r="N45" s="406">
        <f t="shared" si="0"/>
        <v>4853</v>
      </c>
      <c r="O45" s="406">
        <v>7567</v>
      </c>
      <c r="P45" s="406">
        <f t="shared" si="0"/>
        <v>3608</v>
      </c>
      <c r="Q45" s="423">
        <v>11175</v>
      </c>
      <c r="R45" s="406">
        <f t="shared" si="0"/>
        <v>3191.4389999999985</v>
      </c>
      <c r="S45" s="21">
        <v>14366.438999999998</v>
      </c>
      <c r="T45" s="483"/>
      <c r="U45" s="25">
        <v>2133</v>
      </c>
      <c r="V45" s="406">
        <f t="shared" si="1"/>
        <v>6173</v>
      </c>
      <c r="W45" s="406">
        <v>8306</v>
      </c>
      <c r="X45" s="406">
        <f t="shared" si="2"/>
        <v>2963</v>
      </c>
      <c r="Y45" s="406">
        <v>11269</v>
      </c>
      <c r="Z45" s="406">
        <f t="shared" si="3"/>
        <v>2205</v>
      </c>
      <c r="AA45" s="21">
        <v>13474</v>
      </c>
      <c r="AB45" s="17"/>
      <c r="AC45" s="25">
        <v>4585</v>
      </c>
      <c r="AD45" s="406">
        <v>6252</v>
      </c>
      <c r="AE45" s="406">
        <v>10837</v>
      </c>
      <c r="AF45" s="406">
        <v>2723</v>
      </c>
      <c r="AG45" s="406">
        <v>13560</v>
      </c>
      <c r="AH45" s="406">
        <v>5625</v>
      </c>
      <c r="AI45" s="21">
        <v>19185</v>
      </c>
      <c r="AJ45" s="17"/>
      <c r="AK45" s="25">
        <v>3814</v>
      </c>
      <c r="AL45" s="406">
        <v>4873</v>
      </c>
      <c r="AM45" s="406">
        <v>8687</v>
      </c>
      <c r="AN45" s="406">
        <v>4731</v>
      </c>
      <c r="AO45" s="406">
        <v>13418</v>
      </c>
      <c r="AP45" s="406">
        <v>1698</v>
      </c>
      <c r="AQ45" s="21">
        <v>15116</v>
      </c>
      <c r="AR45" s="17"/>
      <c r="AS45" s="25">
        <v>5472</v>
      </c>
      <c r="AT45" s="20">
        <v>5095</v>
      </c>
      <c r="AU45" s="20">
        <v>10567</v>
      </c>
      <c r="AV45" s="20">
        <v>5747</v>
      </c>
      <c r="AW45" s="20">
        <v>16314</v>
      </c>
      <c r="AX45" s="20">
        <v>3449</v>
      </c>
      <c r="AY45" s="21">
        <v>19763</v>
      </c>
      <c r="AZ45" s="17"/>
      <c r="BA45" s="25">
        <v>4573</v>
      </c>
      <c r="BB45" s="20">
        <v>6012</v>
      </c>
      <c r="BC45" s="20">
        <v>10585</v>
      </c>
      <c r="BD45" s="20">
        <v>6454</v>
      </c>
      <c r="BE45" s="20">
        <v>17039</v>
      </c>
      <c r="BF45" s="20">
        <v>3599</v>
      </c>
      <c r="BG45" s="21">
        <v>20638</v>
      </c>
      <c r="BH45" s="17"/>
      <c r="BI45" s="25">
        <v>5943</v>
      </c>
      <c r="BJ45" s="20">
        <v>9461</v>
      </c>
      <c r="BK45" s="20">
        <v>15404</v>
      </c>
      <c r="BL45" s="20">
        <v>9052</v>
      </c>
      <c r="BM45" s="20">
        <v>24456</v>
      </c>
      <c r="BN45" s="20">
        <v>8085</v>
      </c>
      <c r="BO45" s="21">
        <v>32541</v>
      </c>
      <c r="BP45" s="17"/>
      <c r="BQ45" s="25">
        <v>5423</v>
      </c>
      <c r="BR45" s="20">
        <v>8501</v>
      </c>
      <c r="BS45" s="20">
        <v>13924</v>
      </c>
      <c r="BT45" s="20">
        <v>9817</v>
      </c>
      <c r="BU45" s="20">
        <v>23741</v>
      </c>
      <c r="BV45" s="20">
        <v>8474</v>
      </c>
      <c r="BW45" s="21">
        <v>32215</v>
      </c>
      <c r="BX45" s="12"/>
      <c r="BY45" s="25">
        <v>6423</v>
      </c>
      <c r="BZ45" s="20">
        <v>6702</v>
      </c>
      <c r="CA45" s="20">
        <v>13125</v>
      </c>
      <c r="CB45" s="20">
        <v>7108</v>
      </c>
      <c r="CC45" s="20">
        <v>20233</v>
      </c>
      <c r="CD45" s="20">
        <v>6463</v>
      </c>
      <c r="CE45" s="21">
        <v>26696</v>
      </c>
      <c r="CF45" s="12"/>
      <c r="CG45" s="25">
        <v>5468</v>
      </c>
      <c r="CH45" s="20">
        <v>5367</v>
      </c>
      <c r="CI45" s="39">
        <v>10835</v>
      </c>
      <c r="CJ45" s="20">
        <v>6006</v>
      </c>
      <c r="CK45" s="39">
        <v>16841</v>
      </c>
      <c r="CL45" s="20">
        <v>5815</v>
      </c>
      <c r="CM45" s="40">
        <v>22656</v>
      </c>
      <c r="CN45" s="26"/>
      <c r="CO45" s="25">
        <v>3832</v>
      </c>
      <c r="CP45" s="20">
        <v>4366</v>
      </c>
      <c r="CQ45" s="39">
        <v>8198</v>
      </c>
      <c r="CR45" s="20">
        <v>4084</v>
      </c>
      <c r="CS45" s="39">
        <v>12282</v>
      </c>
      <c r="CT45" s="20">
        <v>4670</v>
      </c>
      <c r="CU45" s="40">
        <v>16952</v>
      </c>
      <c r="CV45" s="26"/>
      <c r="CW45" s="25">
        <v>3177</v>
      </c>
      <c r="CX45" s="20">
        <v>3037</v>
      </c>
      <c r="CY45" s="39">
        <v>6214</v>
      </c>
      <c r="CZ45" s="20">
        <v>5221</v>
      </c>
      <c r="DA45" s="39">
        <v>11435</v>
      </c>
      <c r="DB45" s="20">
        <v>4234</v>
      </c>
      <c r="DC45" s="40">
        <v>15669</v>
      </c>
      <c r="DD45" s="26"/>
      <c r="DE45" s="25">
        <v>3639</v>
      </c>
      <c r="DF45" s="20">
        <v>3373</v>
      </c>
      <c r="DG45" s="39">
        <v>7012</v>
      </c>
      <c r="DH45" s="20">
        <v>2146</v>
      </c>
      <c r="DI45" s="39">
        <v>9158</v>
      </c>
      <c r="DJ45" s="20">
        <v>1997</v>
      </c>
      <c r="DK45" s="40">
        <v>11155</v>
      </c>
      <c r="DL45" s="26"/>
      <c r="DM45" s="25">
        <v>0</v>
      </c>
      <c r="DN45" s="20">
        <v>0</v>
      </c>
      <c r="DO45" s="39">
        <v>0</v>
      </c>
      <c r="DP45" s="20">
        <v>717</v>
      </c>
      <c r="DQ45" s="39">
        <v>717</v>
      </c>
      <c r="DR45" s="20">
        <v>3302</v>
      </c>
      <c r="DS45" s="40">
        <v>4019</v>
      </c>
    </row>
    <row r="46" spans="1:123" x14ac:dyDescent="0.25">
      <c r="B46" s="5"/>
      <c r="C46" s="17"/>
      <c r="D46" s="17"/>
      <c r="E46" s="572"/>
      <c r="F46" s="406"/>
      <c r="G46" s="406"/>
      <c r="H46" s="406"/>
      <c r="I46" s="406"/>
      <c r="J46" s="406"/>
      <c r="K46" s="21"/>
      <c r="L46" s="604"/>
      <c r="M46" s="572"/>
      <c r="N46" s="406"/>
      <c r="O46" s="406"/>
      <c r="P46" s="406"/>
      <c r="Q46" s="423"/>
      <c r="R46" s="406"/>
      <c r="S46" s="21"/>
      <c r="T46" s="483"/>
      <c r="U46" s="25"/>
      <c r="V46" s="406"/>
      <c r="W46" s="406"/>
      <c r="X46" s="406"/>
      <c r="Y46" s="406"/>
      <c r="Z46" s="406"/>
      <c r="AA46" s="21"/>
      <c r="AB46" s="17"/>
      <c r="AC46" s="25"/>
      <c r="AD46" s="406"/>
      <c r="AE46" s="406"/>
      <c r="AF46" s="406"/>
      <c r="AG46" s="406"/>
      <c r="AH46" s="406"/>
      <c r="AI46" s="21"/>
      <c r="AJ46" s="17"/>
      <c r="AK46" s="25"/>
      <c r="AL46" s="406"/>
      <c r="AM46" s="406"/>
      <c r="AN46" s="406"/>
      <c r="AO46" s="406"/>
      <c r="AP46" s="406"/>
      <c r="AQ46" s="21"/>
      <c r="AR46" s="17"/>
      <c r="AS46" s="25"/>
      <c r="AT46" s="20"/>
      <c r="AU46" s="20"/>
      <c r="AV46" s="20"/>
      <c r="AW46" s="20"/>
      <c r="AX46" s="20"/>
      <c r="AY46" s="21"/>
      <c r="AZ46" s="17"/>
      <c r="BA46" s="25"/>
      <c r="BB46" s="20"/>
      <c r="BC46" s="20"/>
      <c r="BD46" s="20"/>
      <c r="BE46" s="20"/>
      <c r="BF46" s="20"/>
      <c r="BG46" s="21"/>
      <c r="BH46" s="17"/>
      <c r="BI46" s="25"/>
      <c r="BJ46" s="20"/>
      <c r="BK46" s="20"/>
      <c r="BL46" s="20"/>
      <c r="BM46" s="20"/>
      <c r="BN46" s="20"/>
      <c r="BO46" s="21"/>
      <c r="BP46" s="17"/>
      <c r="BQ46" s="25"/>
      <c r="BR46" s="20"/>
      <c r="BS46" s="20"/>
      <c r="BT46" s="20"/>
      <c r="BU46" s="20"/>
      <c r="BV46" s="20"/>
      <c r="BW46" s="21"/>
      <c r="BX46" s="6"/>
      <c r="BY46" s="25"/>
      <c r="BZ46" s="20"/>
      <c r="CA46" s="20"/>
      <c r="CB46" s="20"/>
      <c r="CC46" s="20"/>
      <c r="CD46" s="20"/>
      <c r="CE46" s="21"/>
      <c r="CF46" s="6"/>
      <c r="CG46" s="25"/>
      <c r="CH46" s="30"/>
      <c r="CI46" s="30"/>
      <c r="CJ46" s="30"/>
      <c r="CK46" s="30"/>
      <c r="CL46" s="30"/>
      <c r="CM46" s="41"/>
      <c r="CN46" s="6"/>
      <c r="CO46" s="25"/>
      <c r="CP46" s="30"/>
      <c r="CQ46" s="30"/>
      <c r="CR46" s="30"/>
      <c r="CS46" s="30"/>
      <c r="CT46" s="30"/>
      <c r="CU46" s="41"/>
      <c r="CV46" s="6"/>
      <c r="CW46" s="25"/>
      <c r="CX46" s="30"/>
      <c r="CY46" s="30"/>
      <c r="CZ46" s="30"/>
      <c r="DA46" s="30"/>
      <c r="DB46" s="30"/>
      <c r="DC46" s="41"/>
      <c r="DD46" s="6"/>
      <c r="DE46" s="25"/>
      <c r="DF46" s="30"/>
      <c r="DG46" s="30"/>
      <c r="DH46" s="30"/>
      <c r="DI46" s="30"/>
      <c r="DJ46" s="30"/>
      <c r="DK46" s="41"/>
      <c r="DL46" s="6"/>
      <c r="DM46" s="25"/>
      <c r="DN46" s="30"/>
      <c r="DO46" s="30"/>
      <c r="DP46" s="30"/>
      <c r="DQ46" s="30"/>
      <c r="DR46" s="30"/>
      <c r="DS46" s="41"/>
    </row>
    <row r="47" spans="1:123" x14ac:dyDescent="0.25">
      <c r="B47" s="5"/>
      <c r="C47" s="17"/>
      <c r="D47" s="17"/>
      <c r="E47" s="572"/>
      <c r="F47" s="406"/>
      <c r="G47" s="406"/>
      <c r="H47" s="406"/>
      <c r="I47" s="406"/>
      <c r="J47" s="406"/>
      <c r="K47" s="21"/>
      <c r="L47" s="604"/>
      <c r="M47" s="572"/>
      <c r="N47" s="406"/>
      <c r="O47" s="406"/>
      <c r="P47" s="406"/>
      <c r="Q47" s="470"/>
      <c r="R47" s="406"/>
      <c r="S47" s="21"/>
      <c r="T47" s="483"/>
      <c r="U47" s="25"/>
      <c r="V47" s="406"/>
      <c r="W47" s="406"/>
      <c r="X47" s="406"/>
      <c r="Y47" s="406"/>
      <c r="Z47" s="406"/>
      <c r="AA47" s="21"/>
      <c r="AB47" s="17"/>
      <c r="AC47" s="25"/>
      <c r="AD47" s="406"/>
      <c r="AE47" s="406"/>
      <c r="AF47" s="406"/>
      <c r="AG47" s="406"/>
      <c r="AH47" s="406"/>
      <c r="AI47" s="21"/>
      <c r="AJ47" s="17"/>
      <c r="AK47" s="25"/>
      <c r="AL47" s="406"/>
      <c r="AM47" s="406"/>
      <c r="AN47" s="406"/>
      <c r="AO47" s="406"/>
      <c r="AP47" s="406"/>
      <c r="AQ47" s="21"/>
      <c r="AR47" s="17"/>
      <c r="AS47" s="25"/>
      <c r="AT47" s="20"/>
      <c r="AU47" s="20"/>
      <c r="AV47" s="20"/>
      <c r="AW47" s="20"/>
      <c r="AX47" s="20"/>
      <c r="AY47" s="21"/>
      <c r="AZ47" s="17"/>
      <c r="BA47" s="25"/>
      <c r="BB47" s="20"/>
      <c r="BC47" s="20"/>
      <c r="BD47" s="20"/>
      <c r="BE47" s="20"/>
      <c r="BF47" s="20"/>
      <c r="BG47" s="21"/>
      <c r="BH47" s="17"/>
      <c r="BI47" s="25"/>
      <c r="BJ47" s="20"/>
      <c r="BK47" s="20"/>
      <c r="BL47" s="20"/>
      <c r="BM47" s="20"/>
      <c r="BN47" s="20"/>
      <c r="BO47" s="21"/>
      <c r="BP47" s="17"/>
      <c r="BQ47" s="25"/>
      <c r="BR47" s="20"/>
      <c r="BS47" s="20"/>
      <c r="BT47" s="20"/>
      <c r="BU47" s="20"/>
      <c r="BV47" s="20"/>
      <c r="BW47" s="21"/>
      <c r="BX47" s="6"/>
      <c r="BY47" s="25"/>
      <c r="BZ47" s="20"/>
      <c r="CA47" s="20"/>
      <c r="CB47" s="20"/>
      <c r="CC47" s="20"/>
      <c r="CD47" s="20"/>
      <c r="CE47" s="21"/>
      <c r="CF47" s="6"/>
      <c r="CG47" s="25"/>
      <c r="CH47" s="30"/>
      <c r="CI47" s="30"/>
      <c r="CJ47" s="30"/>
      <c r="CK47" s="30"/>
      <c r="CL47" s="30"/>
      <c r="CM47" s="41"/>
      <c r="CN47" s="6"/>
      <c r="CO47" s="25"/>
      <c r="CP47" s="30"/>
      <c r="CQ47" s="30"/>
      <c r="CR47" s="30"/>
      <c r="CS47" s="30"/>
      <c r="CT47" s="30"/>
      <c r="CU47" s="41"/>
      <c r="CV47" s="6"/>
      <c r="CW47" s="25"/>
      <c r="CX47" s="30"/>
      <c r="CY47" s="30"/>
      <c r="CZ47" s="30"/>
      <c r="DA47" s="30"/>
      <c r="DB47" s="30"/>
      <c r="DC47" s="41"/>
      <c r="DD47" s="6"/>
      <c r="DE47" s="25"/>
      <c r="DF47" s="30"/>
      <c r="DG47" s="30"/>
      <c r="DH47" s="30"/>
      <c r="DI47" s="30"/>
      <c r="DJ47" s="30"/>
      <c r="DK47" s="41"/>
      <c r="DL47" s="6"/>
      <c r="DM47" s="25"/>
      <c r="DN47" s="30"/>
      <c r="DO47" s="30"/>
      <c r="DP47" s="30"/>
      <c r="DQ47" s="30"/>
      <c r="DR47" s="30"/>
      <c r="DS47" s="41"/>
    </row>
    <row r="48" spans="1:123" s="14" customFormat="1" x14ac:dyDescent="0.25">
      <c r="A48" s="4" t="s">
        <v>221</v>
      </c>
      <c r="B48" s="16" t="s">
        <v>25</v>
      </c>
      <c r="C48" s="17"/>
      <c r="D48" s="17"/>
      <c r="E48" s="572">
        <v>124632</v>
      </c>
      <c r="F48" s="406"/>
      <c r="G48" s="406">
        <v>126218</v>
      </c>
      <c r="H48" s="406"/>
      <c r="I48" s="406">
        <v>122688</v>
      </c>
      <c r="J48" s="406"/>
      <c r="K48" s="21"/>
      <c r="L48" s="604"/>
      <c r="M48" s="572">
        <v>134526</v>
      </c>
      <c r="N48" s="406"/>
      <c r="O48" s="406">
        <v>130529</v>
      </c>
      <c r="P48" s="406"/>
      <c r="Q48" s="423">
        <v>126624.795</v>
      </c>
      <c r="R48" s="406"/>
      <c r="S48" s="21">
        <v>125238.186</v>
      </c>
      <c r="T48" s="483"/>
      <c r="U48" s="25">
        <v>159312</v>
      </c>
      <c r="V48" s="406">
        <v>160092.15900000001</v>
      </c>
      <c r="W48" s="406"/>
      <c r="X48" s="406"/>
      <c r="Y48" s="406">
        <v>158569</v>
      </c>
      <c r="Z48" s="406"/>
      <c r="AA48" s="21">
        <v>134374</v>
      </c>
      <c r="AB48" s="17"/>
      <c r="AC48" s="25">
        <v>162334</v>
      </c>
      <c r="AD48" s="406">
        <v>157973</v>
      </c>
      <c r="AE48" s="406"/>
      <c r="AF48" s="406">
        <v>155788</v>
      </c>
      <c r="AG48" s="406"/>
      <c r="AH48" s="406">
        <v>157569</v>
      </c>
      <c r="AI48" s="21"/>
      <c r="AJ48" s="17"/>
      <c r="AK48" s="25">
        <v>160287</v>
      </c>
      <c r="AL48" s="406">
        <v>158495</v>
      </c>
      <c r="AM48" s="406"/>
      <c r="AN48" s="406">
        <v>156858</v>
      </c>
      <c r="AO48" s="406"/>
      <c r="AP48" s="406">
        <v>158553</v>
      </c>
      <c r="AQ48" s="21"/>
      <c r="AR48" s="17"/>
      <c r="AS48" s="25">
        <v>175362</v>
      </c>
      <c r="AT48" s="20">
        <v>168178</v>
      </c>
      <c r="AU48" s="20"/>
      <c r="AV48" s="20">
        <v>163138</v>
      </c>
      <c r="AW48" s="20"/>
      <c r="AX48" s="20">
        <v>161638</v>
      </c>
      <c r="AY48" s="21"/>
      <c r="AZ48" s="17"/>
      <c r="BA48" s="25">
        <v>178245</v>
      </c>
      <c r="BB48" s="20">
        <v>172744</v>
      </c>
      <c r="BC48" s="20"/>
      <c r="BD48" s="20">
        <v>174457</v>
      </c>
      <c r="BE48" s="20"/>
      <c r="BF48" s="20">
        <v>171861</v>
      </c>
      <c r="BG48" s="21"/>
      <c r="BH48" s="17"/>
      <c r="BI48" s="25">
        <v>182630</v>
      </c>
      <c r="BJ48" s="20">
        <v>186030</v>
      </c>
      <c r="BK48" s="20"/>
      <c r="BL48" s="20">
        <v>176110</v>
      </c>
      <c r="BM48" s="20"/>
      <c r="BN48" s="20">
        <v>178129</v>
      </c>
      <c r="BO48" s="21"/>
      <c r="BP48" s="17"/>
      <c r="BQ48" s="25">
        <v>110618</v>
      </c>
      <c r="BR48" s="20">
        <v>183109</v>
      </c>
      <c r="BS48" s="20"/>
      <c r="BT48" s="20">
        <v>181143</v>
      </c>
      <c r="BU48" s="20"/>
      <c r="BV48" s="20">
        <v>184398</v>
      </c>
      <c r="BW48" s="21"/>
      <c r="BX48" s="12"/>
      <c r="BY48" s="25">
        <v>117120</v>
      </c>
      <c r="BZ48" s="20">
        <v>115217</v>
      </c>
      <c r="CA48" s="20"/>
      <c r="CB48" s="20">
        <v>113044</v>
      </c>
      <c r="CC48" s="20"/>
      <c r="CD48" s="20">
        <v>110468</v>
      </c>
      <c r="CE48" s="21"/>
      <c r="CF48" s="12"/>
      <c r="CG48" s="25">
        <v>114255</v>
      </c>
      <c r="CH48" s="39">
        <v>111777</v>
      </c>
      <c r="CI48" s="39"/>
      <c r="CJ48" s="39">
        <v>114586</v>
      </c>
      <c r="CK48" s="39"/>
      <c r="CL48" s="39">
        <v>115293</v>
      </c>
      <c r="CM48" s="40"/>
      <c r="CN48" s="26"/>
      <c r="CO48" s="25">
        <v>114844</v>
      </c>
      <c r="CP48" s="39">
        <v>114166</v>
      </c>
      <c r="CQ48" s="39"/>
      <c r="CR48" s="39">
        <v>112128</v>
      </c>
      <c r="CS48" s="39"/>
      <c r="CT48" s="39">
        <v>113655</v>
      </c>
      <c r="CU48" s="40"/>
      <c r="CV48" s="26"/>
      <c r="CW48" s="25">
        <v>115339</v>
      </c>
      <c r="CX48" s="39">
        <v>115839</v>
      </c>
      <c r="CY48" s="39"/>
      <c r="CZ48" s="39">
        <v>117330</v>
      </c>
      <c r="DA48" s="39"/>
      <c r="DB48" s="39">
        <v>115683</v>
      </c>
      <c r="DC48" s="40"/>
      <c r="DD48" s="26"/>
      <c r="DE48" s="25">
        <v>96751</v>
      </c>
      <c r="DF48" s="39">
        <v>94004</v>
      </c>
      <c r="DG48" s="39"/>
      <c r="DH48" s="39">
        <v>94889</v>
      </c>
      <c r="DI48" s="39"/>
      <c r="DJ48" s="39">
        <v>115805</v>
      </c>
      <c r="DK48" s="40"/>
      <c r="DL48" s="26"/>
      <c r="DM48" s="25">
        <v>0</v>
      </c>
      <c r="DN48" s="39">
        <v>0</v>
      </c>
      <c r="DO48" s="39"/>
      <c r="DP48" s="39">
        <v>97989</v>
      </c>
      <c r="DQ48" s="39"/>
      <c r="DR48" s="39">
        <v>96021</v>
      </c>
      <c r="DS48" s="40"/>
    </row>
    <row r="49" spans="1:123" s="14" customFormat="1" ht="7.5" customHeight="1" x14ac:dyDescent="0.25">
      <c r="A49" s="4"/>
      <c r="B49" s="16"/>
      <c r="C49" s="17"/>
      <c r="D49" s="17"/>
      <c r="E49" s="572"/>
      <c r="F49" s="406"/>
      <c r="G49" s="406"/>
      <c r="H49" s="406"/>
      <c r="I49" s="406"/>
      <c r="J49" s="406"/>
      <c r="K49" s="21"/>
      <c r="L49" s="604"/>
      <c r="M49" s="572"/>
      <c r="N49" s="406"/>
      <c r="O49" s="406"/>
      <c r="P49" s="406"/>
      <c r="Q49" s="423"/>
      <c r="R49" s="406"/>
      <c r="S49" s="21"/>
      <c r="T49" s="483"/>
      <c r="U49" s="25"/>
      <c r="V49" s="406"/>
      <c r="W49" s="406"/>
      <c r="X49" s="406"/>
      <c r="Y49" s="406"/>
      <c r="Z49" s="406"/>
      <c r="AA49" s="21"/>
      <c r="AB49" s="17"/>
      <c r="AC49" s="25"/>
      <c r="AD49" s="406"/>
      <c r="AE49" s="406"/>
      <c r="AF49" s="406"/>
      <c r="AG49" s="406"/>
      <c r="AH49" s="406"/>
      <c r="AI49" s="21"/>
      <c r="AJ49" s="17"/>
      <c r="AK49" s="25"/>
      <c r="AL49" s="406"/>
      <c r="AM49" s="406"/>
      <c r="AN49" s="406"/>
      <c r="AO49" s="406"/>
      <c r="AP49" s="406"/>
      <c r="AQ49" s="21"/>
      <c r="AR49" s="17"/>
      <c r="AS49" s="25"/>
      <c r="AT49" s="20"/>
      <c r="AU49" s="20"/>
      <c r="AV49" s="20"/>
      <c r="AW49" s="20"/>
      <c r="AX49" s="20"/>
      <c r="AY49" s="21"/>
      <c r="AZ49" s="17"/>
      <c r="BA49" s="25"/>
      <c r="BB49" s="20"/>
      <c r="BC49" s="20"/>
      <c r="BD49" s="20"/>
      <c r="BE49" s="20"/>
      <c r="BF49" s="20"/>
      <c r="BG49" s="21"/>
      <c r="BH49" s="17"/>
      <c r="BI49" s="25"/>
      <c r="BJ49" s="20"/>
      <c r="BK49" s="20"/>
      <c r="BL49" s="20"/>
      <c r="BM49" s="20"/>
      <c r="BN49" s="20"/>
      <c r="BO49" s="21"/>
      <c r="BP49" s="17"/>
      <c r="BQ49" s="25"/>
      <c r="BR49" s="20"/>
      <c r="BS49" s="20"/>
      <c r="BT49" s="20"/>
      <c r="BU49" s="20"/>
      <c r="BV49" s="20"/>
      <c r="BW49" s="21"/>
      <c r="BX49" s="12"/>
      <c r="BY49" s="25"/>
      <c r="BZ49" s="20"/>
      <c r="CA49" s="20"/>
      <c r="CB49" s="20"/>
      <c r="CC49" s="20"/>
      <c r="CD49" s="20"/>
      <c r="CE49" s="21"/>
      <c r="CF49" s="12"/>
      <c r="CG49" s="25"/>
      <c r="CH49" s="39"/>
      <c r="CI49" s="39"/>
      <c r="CJ49" s="26"/>
      <c r="CK49" s="39"/>
      <c r="CL49" s="39"/>
      <c r="CM49" s="40"/>
      <c r="CN49" s="30"/>
      <c r="CO49" s="25"/>
      <c r="CP49" s="39"/>
      <c r="CQ49" s="39"/>
      <c r="CR49" s="26"/>
      <c r="CS49" s="39"/>
      <c r="CT49" s="39"/>
      <c r="CU49" s="40"/>
      <c r="CV49" s="30"/>
      <c r="CW49" s="25"/>
      <c r="CX49" s="39"/>
      <c r="CY49" s="39"/>
      <c r="CZ49" s="26"/>
      <c r="DA49" s="39"/>
      <c r="DB49" s="39"/>
      <c r="DC49" s="40"/>
      <c r="DD49" s="30"/>
      <c r="DE49" s="25"/>
      <c r="DF49" s="39"/>
      <c r="DG49" s="39"/>
      <c r="DH49" s="26"/>
      <c r="DI49" s="39"/>
      <c r="DJ49" s="39"/>
      <c r="DK49" s="40"/>
      <c r="DL49" s="30"/>
      <c r="DM49" s="25"/>
      <c r="DN49" s="39"/>
      <c r="DO49" s="39"/>
      <c r="DP49" s="26"/>
      <c r="DQ49" s="39"/>
      <c r="DR49" s="39"/>
      <c r="DS49" s="40"/>
    </row>
    <row r="50" spans="1:123" ht="15" customHeight="1" outlineLevel="1" x14ac:dyDescent="0.25">
      <c r="A50" s="4" t="s">
        <v>222</v>
      </c>
      <c r="B50" s="5" t="s">
        <v>26</v>
      </c>
      <c r="C50" s="17"/>
      <c r="D50" s="17"/>
      <c r="E50" s="573">
        <v>83322</v>
      </c>
      <c r="F50" s="408"/>
      <c r="G50" s="408">
        <v>82773</v>
      </c>
      <c r="H50" s="408"/>
      <c r="I50" s="408">
        <v>83116</v>
      </c>
      <c r="J50" s="408"/>
      <c r="K50" s="29"/>
      <c r="L50" s="604"/>
      <c r="M50" s="573">
        <v>90549</v>
      </c>
      <c r="N50" s="408"/>
      <c r="O50" s="408">
        <v>85891</v>
      </c>
      <c r="P50" s="408"/>
      <c r="Q50" s="423">
        <v>81802</v>
      </c>
      <c r="R50" s="408"/>
      <c r="S50" s="29">
        <v>82137.611999999994</v>
      </c>
      <c r="T50" s="483"/>
      <c r="U50" s="27">
        <v>88404</v>
      </c>
      <c r="V50" s="408">
        <v>86640</v>
      </c>
      <c r="W50" s="406"/>
      <c r="X50" s="406"/>
      <c r="Y50" s="408">
        <v>87926</v>
      </c>
      <c r="Z50" s="408"/>
      <c r="AA50" s="29">
        <v>88348</v>
      </c>
      <c r="AB50" s="17"/>
      <c r="AC50" s="27">
        <v>33593</v>
      </c>
      <c r="AD50" s="408">
        <v>25725</v>
      </c>
      <c r="AE50" s="408"/>
      <c r="AF50" s="408">
        <v>24326</v>
      </c>
      <c r="AG50" s="408"/>
      <c r="AH50" s="408">
        <v>23334</v>
      </c>
      <c r="AI50" s="29"/>
      <c r="AJ50" s="17"/>
      <c r="AK50" s="27">
        <v>35602</v>
      </c>
      <c r="AL50" s="408">
        <v>33474</v>
      </c>
      <c r="AM50" s="408"/>
      <c r="AN50" s="408">
        <v>30545</v>
      </c>
      <c r="AO50" s="408"/>
      <c r="AP50" s="408">
        <v>32032</v>
      </c>
      <c r="AQ50" s="29"/>
      <c r="AR50" s="17"/>
      <c r="AS50" s="27">
        <v>53521</v>
      </c>
      <c r="AT50" s="28">
        <v>45558</v>
      </c>
      <c r="AU50" s="28"/>
      <c r="AV50" s="28">
        <v>38735</v>
      </c>
      <c r="AW50" s="28"/>
      <c r="AX50" s="28">
        <v>36325</v>
      </c>
      <c r="AY50" s="29"/>
      <c r="AZ50" s="17"/>
      <c r="BA50" s="27">
        <v>65351</v>
      </c>
      <c r="BB50" s="28">
        <v>59370</v>
      </c>
      <c r="BC50" s="28"/>
      <c r="BD50" s="28">
        <v>57037</v>
      </c>
      <c r="BE50" s="28"/>
      <c r="BF50" s="28">
        <v>55044</v>
      </c>
      <c r="BG50" s="29"/>
      <c r="BH50" s="17"/>
      <c r="BI50" s="27">
        <v>81370</v>
      </c>
      <c r="BJ50" s="28">
        <v>76469</v>
      </c>
      <c r="BK50" s="28"/>
      <c r="BL50" s="28">
        <v>66866</v>
      </c>
      <c r="BM50" s="28"/>
      <c r="BN50" s="28">
        <v>67067</v>
      </c>
      <c r="BO50" s="29"/>
      <c r="BP50" s="17"/>
      <c r="BQ50" s="27">
        <v>13924</v>
      </c>
      <c r="BR50" s="28">
        <v>95582</v>
      </c>
      <c r="BS50" s="28"/>
      <c r="BT50" s="28">
        <v>88857</v>
      </c>
      <c r="BU50" s="28"/>
      <c r="BV50" s="28">
        <v>83929</v>
      </c>
      <c r="BW50" s="29"/>
      <c r="BX50" s="6"/>
      <c r="BY50" s="27">
        <v>33603</v>
      </c>
      <c r="BZ50" s="28">
        <v>28661</v>
      </c>
      <c r="CA50" s="28"/>
      <c r="CB50" s="28">
        <v>20250</v>
      </c>
      <c r="CC50" s="28"/>
      <c r="CD50" s="28">
        <v>14815</v>
      </c>
      <c r="CE50" s="29"/>
      <c r="CF50" s="6"/>
      <c r="CG50" s="27">
        <v>42597</v>
      </c>
      <c r="CH50" s="38">
        <v>37114</v>
      </c>
      <c r="CI50" s="28"/>
      <c r="CJ50" s="36">
        <v>35096</v>
      </c>
      <c r="CK50" s="28"/>
      <c r="CL50" s="38">
        <v>33202</v>
      </c>
      <c r="CM50" s="29"/>
      <c r="CN50" s="30"/>
      <c r="CO50" s="27">
        <v>51881</v>
      </c>
      <c r="CP50" s="38">
        <v>49594</v>
      </c>
      <c r="CQ50" s="28"/>
      <c r="CR50" s="36">
        <v>44520</v>
      </c>
      <c r="CS50" s="28"/>
      <c r="CT50" s="38">
        <v>42426</v>
      </c>
      <c r="CU50" s="29"/>
      <c r="CV50" s="30"/>
      <c r="CW50" s="27">
        <v>59939</v>
      </c>
      <c r="CX50" s="38">
        <v>58838</v>
      </c>
      <c r="CY50" s="28"/>
      <c r="CZ50" s="36">
        <v>55578</v>
      </c>
      <c r="DA50" s="28"/>
      <c r="DB50" s="38">
        <v>51931</v>
      </c>
      <c r="DC50" s="29"/>
      <c r="DD50" s="30"/>
      <c r="DE50" s="27">
        <v>46823</v>
      </c>
      <c r="DF50" s="38">
        <v>43849</v>
      </c>
      <c r="DG50" s="28"/>
      <c r="DH50" s="36">
        <v>44510</v>
      </c>
      <c r="DI50" s="28"/>
      <c r="DJ50" s="38">
        <v>58832</v>
      </c>
      <c r="DK50" s="29"/>
      <c r="DL50" s="30"/>
      <c r="DM50" s="27">
        <v>0</v>
      </c>
      <c r="DN50" s="38">
        <v>0</v>
      </c>
      <c r="DO50" s="28"/>
      <c r="DP50" s="36">
        <v>49013</v>
      </c>
      <c r="DQ50" s="28"/>
      <c r="DR50" s="38">
        <v>47902</v>
      </c>
      <c r="DS50" s="29"/>
    </row>
    <row r="51" spans="1:123" s="286" customFormat="1" ht="15" customHeight="1" outlineLevel="1" x14ac:dyDescent="0.4">
      <c r="A51" s="4"/>
      <c r="B51" s="5" t="s">
        <v>28</v>
      </c>
      <c r="C51" s="287"/>
      <c r="D51" s="287"/>
      <c r="E51" s="574">
        <v>10040</v>
      </c>
      <c r="F51" s="409"/>
      <c r="G51" s="409">
        <v>13201</v>
      </c>
      <c r="H51" s="409"/>
      <c r="I51" s="409">
        <v>12348</v>
      </c>
      <c r="J51" s="409"/>
      <c r="K51" s="162"/>
      <c r="L51" s="605"/>
      <c r="M51" s="574">
        <v>10051</v>
      </c>
      <c r="N51" s="409"/>
      <c r="O51" s="409">
        <v>9885</v>
      </c>
      <c r="P51" s="409"/>
      <c r="Q51" s="428">
        <f>Q52-Q50</f>
        <v>9876.5580000000045</v>
      </c>
      <c r="R51" s="409"/>
      <c r="S51" s="162">
        <v>10263.465000000011</v>
      </c>
      <c r="T51" s="483"/>
      <c r="U51" s="160">
        <v>20362</v>
      </c>
      <c r="V51" s="409">
        <v>20789</v>
      </c>
      <c r="W51" s="406"/>
      <c r="X51" s="406"/>
      <c r="Y51" s="409">
        <v>18357</v>
      </c>
      <c r="Z51" s="409"/>
      <c r="AA51" s="162">
        <v>11279</v>
      </c>
      <c r="AB51" s="287"/>
      <c r="AC51" s="160">
        <v>20261</v>
      </c>
      <c r="AD51" s="409">
        <v>21156</v>
      </c>
      <c r="AE51" s="409"/>
      <c r="AF51" s="409">
        <v>20562</v>
      </c>
      <c r="AG51" s="409"/>
      <c r="AH51" s="409">
        <v>20913</v>
      </c>
      <c r="AI51" s="162"/>
      <c r="AJ51" s="287"/>
      <c r="AK51" s="160">
        <v>17600</v>
      </c>
      <c r="AL51" s="409">
        <v>17425</v>
      </c>
      <c r="AM51" s="409"/>
      <c r="AN51" s="409">
        <v>18573</v>
      </c>
      <c r="AO51" s="409"/>
      <c r="AP51" s="409">
        <v>19423</v>
      </c>
      <c r="AQ51" s="162"/>
      <c r="AR51" s="287"/>
      <c r="AS51" s="160">
        <v>19612</v>
      </c>
      <c r="AT51" s="161">
        <v>19031</v>
      </c>
      <c r="AU51" s="161"/>
      <c r="AV51" s="161">
        <v>19163</v>
      </c>
      <c r="AW51" s="161"/>
      <c r="AX51" s="161">
        <v>19239</v>
      </c>
      <c r="AY51" s="162"/>
      <c r="AZ51" s="287"/>
      <c r="BA51" s="160">
        <v>17475</v>
      </c>
      <c r="BB51" s="161">
        <v>16361</v>
      </c>
      <c r="BC51" s="161"/>
      <c r="BD51" s="161">
        <v>17459</v>
      </c>
      <c r="BE51" s="161"/>
      <c r="BF51" s="161">
        <v>16273</v>
      </c>
      <c r="BG51" s="162"/>
      <c r="BH51" s="287"/>
      <c r="BI51" s="160">
        <v>23515</v>
      </c>
      <c r="BJ51" s="161">
        <v>27474</v>
      </c>
      <c r="BK51" s="161"/>
      <c r="BL51" s="161">
        <v>26178</v>
      </c>
      <c r="BM51" s="161"/>
      <c r="BN51" s="161">
        <v>16344</v>
      </c>
      <c r="BO51" s="162"/>
      <c r="BP51" s="287"/>
      <c r="BQ51" s="160">
        <v>16927</v>
      </c>
      <c r="BR51" s="161">
        <v>15629</v>
      </c>
      <c r="BS51" s="161"/>
      <c r="BT51" s="161">
        <v>18631</v>
      </c>
      <c r="BU51" s="161"/>
      <c r="BV51" s="161">
        <v>24752</v>
      </c>
      <c r="BW51" s="162"/>
      <c r="BX51" s="284"/>
      <c r="BY51" s="160">
        <v>15834</v>
      </c>
      <c r="BZ51" s="161">
        <v>15807</v>
      </c>
      <c r="CA51" s="161"/>
      <c r="CB51" s="161">
        <v>18764</v>
      </c>
      <c r="CC51" s="161"/>
      <c r="CD51" s="161">
        <v>18210</v>
      </c>
      <c r="CE51" s="162"/>
      <c r="CF51" s="284"/>
      <c r="CG51" s="160">
        <v>13453</v>
      </c>
      <c r="CH51" s="192">
        <v>14732</v>
      </c>
      <c r="CI51" s="161"/>
      <c r="CJ51" s="285">
        <v>17292</v>
      </c>
      <c r="CK51" s="161"/>
      <c r="CL51" s="192">
        <v>17175</v>
      </c>
      <c r="CM51" s="162"/>
      <c r="CN51" s="288"/>
      <c r="CO51" s="160">
        <v>10630</v>
      </c>
      <c r="CP51" s="192">
        <v>10988</v>
      </c>
      <c r="CQ51" s="161"/>
      <c r="CR51" s="285">
        <v>12930</v>
      </c>
      <c r="CS51" s="161"/>
      <c r="CT51" s="192">
        <v>15133</v>
      </c>
      <c r="CU51" s="162"/>
      <c r="CV51" s="288"/>
      <c r="CW51" s="160">
        <v>6996</v>
      </c>
      <c r="CX51" s="192">
        <v>8279</v>
      </c>
      <c r="CY51" s="161"/>
      <c r="CZ51" s="285">
        <v>11409</v>
      </c>
      <c r="DA51" s="161"/>
      <c r="DB51" s="192">
        <v>12319</v>
      </c>
      <c r="DC51" s="162"/>
      <c r="DD51" s="288"/>
      <c r="DE51" s="160">
        <v>5368</v>
      </c>
      <c r="DF51" s="192">
        <v>4886</v>
      </c>
      <c r="DG51" s="161"/>
      <c r="DH51" s="285">
        <v>4151</v>
      </c>
      <c r="DI51" s="161"/>
      <c r="DJ51" s="192">
        <v>8631</v>
      </c>
      <c r="DK51" s="162"/>
      <c r="DL51" s="288"/>
      <c r="DM51" s="160">
        <v>0</v>
      </c>
      <c r="DN51" s="192">
        <v>0</v>
      </c>
      <c r="DO51" s="161"/>
      <c r="DP51" s="285">
        <v>4337</v>
      </c>
      <c r="DQ51" s="161"/>
      <c r="DR51" s="192">
        <v>4307</v>
      </c>
      <c r="DS51" s="162"/>
    </row>
    <row r="52" spans="1:123" s="14" customFormat="1" x14ac:dyDescent="0.25">
      <c r="A52" s="4" t="s">
        <v>223</v>
      </c>
      <c r="B52" s="16" t="s">
        <v>29</v>
      </c>
      <c r="C52" s="17"/>
      <c r="D52" s="17"/>
      <c r="E52" s="572">
        <v>93362</v>
      </c>
      <c r="F52" s="406"/>
      <c r="G52" s="406">
        <f>SUM(G50:G51)</f>
        <v>95974</v>
      </c>
      <c r="H52" s="406"/>
      <c r="I52" s="406">
        <f>SUM(I50:I51)</f>
        <v>95464</v>
      </c>
      <c r="J52" s="406"/>
      <c r="K52" s="21"/>
      <c r="L52" s="604"/>
      <c r="M52" s="572">
        <v>100600</v>
      </c>
      <c r="N52" s="406"/>
      <c r="O52" s="406">
        <v>95776</v>
      </c>
      <c r="P52" s="406"/>
      <c r="Q52" s="423">
        <v>91678.558000000005</v>
      </c>
      <c r="R52" s="406"/>
      <c r="S52" s="21">
        <v>92401.077000000005</v>
      </c>
      <c r="T52" s="483"/>
      <c r="U52" s="25">
        <v>108766</v>
      </c>
      <c r="V52" s="406">
        <v>107429</v>
      </c>
      <c r="W52" s="406"/>
      <c r="X52" s="406"/>
      <c r="Y52" s="406">
        <v>106283</v>
      </c>
      <c r="Z52" s="406"/>
      <c r="AA52" s="21">
        <v>99627</v>
      </c>
      <c r="AB52" s="17"/>
      <c r="AC52" s="25">
        <v>53854</v>
      </c>
      <c r="AD52" s="406">
        <v>46881</v>
      </c>
      <c r="AE52" s="406"/>
      <c r="AF52" s="406">
        <v>44888</v>
      </c>
      <c r="AG52" s="406"/>
      <c r="AH52" s="406">
        <v>44247</v>
      </c>
      <c r="AI52" s="21"/>
      <c r="AJ52" s="17"/>
      <c r="AK52" s="25">
        <v>53202</v>
      </c>
      <c r="AL52" s="406">
        <v>50899</v>
      </c>
      <c r="AM52" s="406"/>
      <c r="AN52" s="406">
        <v>49118</v>
      </c>
      <c r="AO52" s="406"/>
      <c r="AP52" s="406">
        <v>51455</v>
      </c>
      <c r="AQ52" s="21"/>
      <c r="AR52" s="17"/>
      <c r="AS52" s="25">
        <v>73133</v>
      </c>
      <c r="AT52" s="20">
        <v>64589</v>
      </c>
      <c r="AU52" s="20"/>
      <c r="AV52" s="20">
        <v>57898</v>
      </c>
      <c r="AW52" s="20"/>
      <c r="AX52" s="20">
        <v>55564</v>
      </c>
      <c r="AY52" s="21"/>
      <c r="AZ52" s="17"/>
      <c r="BA52" s="25">
        <v>82826</v>
      </c>
      <c r="BB52" s="20">
        <v>75731</v>
      </c>
      <c r="BC52" s="20"/>
      <c r="BD52" s="20">
        <v>74496</v>
      </c>
      <c r="BE52" s="20"/>
      <c r="BF52" s="20">
        <v>71317</v>
      </c>
      <c r="BG52" s="21"/>
      <c r="BH52" s="17"/>
      <c r="BI52" s="25">
        <v>104885</v>
      </c>
      <c r="BJ52" s="20">
        <v>103943</v>
      </c>
      <c r="BK52" s="20"/>
      <c r="BL52" s="20">
        <v>93044</v>
      </c>
      <c r="BM52" s="20"/>
      <c r="BN52" s="20">
        <v>83411</v>
      </c>
      <c r="BO52" s="21"/>
      <c r="BP52" s="17"/>
      <c r="BQ52" s="25">
        <v>30851</v>
      </c>
      <c r="BR52" s="20">
        <v>111211</v>
      </c>
      <c r="BS52" s="20"/>
      <c r="BT52" s="20">
        <v>107488</v>
      </c>
      <c r="BU52" s="20"/>
      <c r="BV52" s="20">
        <v>108681</v>
      </c>
      <c r="BW52" s="21"/>
      <c r="BX52" s="12"/>
      <c r="BY52" s="25">
        <v>49437</v>
      </c>
      <c r="BZ52" s="20">
        <v>44468</v>
      </c>
      <c r="CA52" s="20"/>
      <c r="CB52" s="20">
        <v>39014</v>
      </c>
      <c r="CC52" s="20"/>
      <c r="CD52" s="20">
        <v>33025</v>
      </c>
      <c r="CE52" s="21"/>
      <c r="CF52" s="12"/>
      <c r="CG52" s="25">
        <v>56050</v>
      </c>
      <c r="CH52" s="39">
        <v>51846</v>
      </c>
      <c r="CI52" s="20"/>
      <c r="CJ52" s="39">
        <v>52388</v>
      </c>
      <c r="CK52" s="20"/>
      <c r="CL52" s="39">
        <v>50377</v>
      </c>
      <c r="CM52" s="21"/>
      <c r="CN52" s="26"/>
      <c r="CO52" s="25">
        <v>62511</v>
      </c>
      <c r="CP52" s="39">
        <v>60582</v>
      </c>
      <c r="CQ52" s="20"/>
      <c r="CR52" s="39">
        <v>57450</v>
      </c>
      <c r="CS52" s="20"/>
      <c r="CT52" s="39">
        <v>57559</v>
      </c>
      <c r="CU52" s="21"/>
      <c r="CV52" s="26"/>
      <c r="CW52" s="25">
        <v>66935</v>
      </c>
      <c r="CX52" s="39">
        <v>67117</v>
      </c>
      <c r="CY52" s="20"/>
      <c r="CZ52" s="39">
        <v>66987</v>
      </c>
      <c r="DA52" s="20"/>
      <c r="DB52" s="39">
        <v>64250</v>
      </c>
      <c r="DC52" s="21"/>
      <c r="DD52" s="26"/>
      <c r="DE52" s="25">
        <v>52191</v>
      </c>
      <c r="DF52" s="39">
        <v>48735</v>
      </c>
      <c r="DG52" s="20"/>
      <c r="DH52" s="39">
        <v>48661</v>
      </c>
      <c r="DI52" s="20"/>
      <c r="DJ52" s="39">
        <v>67463</v>
      </c>
      <c r="DK52" s="21"/>
      <c r="DL52" s="26"/>
      <c r="DM52" s="25">
        <v>0</v>
      </c>
      <c r="DN52" s="39">
        <v>0</v>
      </c>
      <c r="DO52" s="20"/>
      <c r="DP52" s="39">
        <v>53350</v>
      </c>
      <c r="DQ52" s="20"/>
      <c r="DR52" s="39">
        <v>52209</v>
      </c>
      <c r="DS52" s="21"/>
    </row>
    <row r="53" spans="1:123" s="14" customFormat="1" ht="5.25" customHeight="1" x14ac:dyDescent="0.25">
      <c r="A53" s="4"/>
      <c r="B53" s="16"/>
      <c r="C53" s="17"/>
      <c r="D53" s="17"/>
      <c r="E53" s="572"/>
      <c r="F53" s="406"/>
      <c r="G53" s="406"/>
      <c r="H53" s="406"/>
      <c r="I53" s="406"/>
      <c r="J53" s="406"/>
      <c r="K53" s="21"/>
      <c r="L53" s="604"/>
      <c r="M53" s="572"/>
      <c r="N53" s="406"/>
      <c r="O53" s="406"/>
      <c r="P53" s="406"/>
      <c r="Q53" s="423"/>
      <c r="R53" s="406"/>
      <c r="S53" s="21"/>
      <c r="T53" s="483"/>
      <c r="U53" s="25"/>
      <c r="V53" s="406"/>
      <c r="W53" s="406"/>
      <c r="X53" s="406"/>
      <c r="Y53" s="406"/>
      <c r="Z53" s="406"/>
      <c r="AA53" s="21"/>
      <c r="AB53" s="17"/>
      <c r="AC53" s="25"/>
      <c r="AD53" s="406"/>
      <c r="AE53" s="406"/>
      <c r="AF53" s="406"/>
      <c r="AG53" s="406"/>
      <c r="AH53" s="406"/>
      <c r="AI53" s="21"/>
      <c r="AJ53" s="17"/>
      <c r="AK53" s="25"/>
      <c r="AL53" s="406"/>
      <c r="AM53" s="406"/>
      <c r="AN53" s="406"/>
      <c r="AO53" s="406"/>
      <c r="AP53" s="406"/>
      <c r="AQ53" s="21"/>
      <c r="AR53" s="17"/>
      <c r="AS53" s="25"/>
      <c r="AT53" s="20"/>
      <c r="AU53" s="20"/>
      <c r="AV53" s="20"/>
      <c r="AW53" s="20"/>
      <c r="AX53" s="20"/>
      <c r="AY53" s="21"/>
      <c r="AZ53" s="17"/>
      <c r="BA53" s="25"/>
      <c r="BB53" s="20"/>
      <c r="BC53" s="20"/>
      <c r="BD53" s="20"/>
      <c r="BE53" s="20"/>
      <c r="BF53" s="20"/>
      <c r="BG53" s="21"/>
      <c r="BH53" s="17"/>
      <c r="BI53" s="25"/>
      <c r="BJ53" s="20"/>
      <c r="BK53" s="20"/>
      <c r="BL53" s="20"/>
      <c r="BM53" s="20"/>
      <c r="BN53" s="20"/>
      <c r="BO53" s="21"/>
      <c r="BP53" s="17"/>
      <c r="BQ53" s="25"/>
      <c r="BR53" s="20"/>
      <c r="BS53" s="20"/>
      <c r="BT53" s="20"/>
      <c r="BU53" s="20"/>
      <c r="BV53" s="20"/>
      <c r="BW53" s="21"/>
      <c r="BX53" s="12"/>
      <c r="BY53" s="25"/>
      <c r="BZ53" s="20"/>
      <c r="CA53" s="20"/>
      <c r="CB53" s="20"/>
      <c r="CC53" s="20"/>
      <c r="CD53" s="20"/>
      <c r="CE53" s="21"/>
      <c r="CF53" s="12"/>
      <c r="CG53" s="25"/>
      <c r="CH53" s="39"/>
      <c r="CI53" s="20"/>
      <c r="CJ53" s="39"/>
      <c r="CK53" s="20"/>
      <c r="CL53" s="39"/>
      <c r="CM53" s="21"/>
      <c r="CN53" s="30"/>
      <c r="CO53" s="25"/>
      <c r="CP53" s="39"/>
      <c r="CQ53" s="20"/>
      <c r="CR53" s="39"/>
      <c r="CS53" s="20"/>
      <c r="CT53" s="39"/>
      <c r="CU53" s="21"/>
      <c r="CV53" s="30"/>
      <c r="CW53" s="25"/>
      <c r="CX53" s="39"/>
      <c r="CY53" s="20"/>
      <c r="CZ53" s="39"/>
      <c r="DA53" s="20"/>
      <c r="DB53" s="39"/>
      <c r="DC53" s="21"/>
      <c r="DD53" s="30"/>
      <c r="DE53" s="25"/>
      <c r="DF53" s="39"/>
      <c r="DG53" s="20"/>
      <c r="DH53" s="39"/>
      <c r="DI53" s="20"/>
      <c r="DJ53" s="39"/>
      <c r="DK53" s="21"/>
      <c r="DL53" s="30"/>
      <c r="DM53" s="25"/>
      <c r="DN53" s="39"/>
      <c r="DO53" s="20"/>
      <c r="DP53" s="39"/>
      <c r="DQ53" s="20"/>
      <c r="DR53" s="39"/>
      <c r="DS53" s="21"/>
    </row>
    <row r="54" spans="1:123" s="14" customFormat="1" x14ac:dyDescent="0.25">
      <c r="A54" s="4" t="s">
        <v>224</v>
      </c>
      <c r="B54" s="16" t="s">
        <v>36</v>
      </c>
      <c r="C54" s="17"/>
      <c r="D54" s="17"/>
      <c r="E54" s="572">
        <v>31270</v>
      </c>
      <c r="F54" s="406"/>
      <c r="G54" s="406">
        <v>30244</v>
      </c>
      <c r="H54" s="406"/>
      <c r="I54" s="406">
        <v>27224</v>
      </c>
      <c r="J54" s="406"/>
      <c r="K54" s="21"/>
      <c r="L54" s="604"/>
      <c r="M54" s="572">
        <v>33926</v>
      </c>
      <c r="N54" s="406"/>
      <c r="O54" s="406">
        <v>34753</v>
      </c>
      <c r="P54" s="406"/>
      <c r="Q54" s="423">
        <v>34946.230695797902</v>
      </c>
      <c r="R54" s="406"/>
      <c r="S54" s="21">
        <v>32837.108695797899</v>
      </c>
      <c r="T54" s="483"/>
      <c r="U54" s="25">
        <v>50546</v>
      </c>
      <c r="V54" s="406">
        <v>52663</v>
      </c>
      <c r="W54" s="406"/>
      <c r="X54" s="406"/>
      <c r="Y54" s="406">
        <v>52286</v>
      </c>
      <c r="Z54" s="406"/>
      <c r="AA54" s="21">
        <v>34747</v>
      </c>
      <c r="AB54" s="17"/>
      <c r="AC54" s="25">
        <v>108480</v>
      </c>
      <c r="AD54" s="406">
        <v>111092</v>
      </c>
      <c r="AE54" s="406"/>
      <c r="AF54" s="406">
        <v>110900</v>
      </c>
      <c r="AG54" s="406"/>
      <c r="AH54" s="406">
        <v>113322</v>
      </c>
      <c r="AI54" s="21"/>
      <c r="AJ54" s="17"/>
      <c r="AK54" s="25">
        <v>107085</v>
      </c>
      <c r="AL54" s="406">
        <v>107596</v>
      </c>
      <c r="AM54" s="406"/>
      <c r="AN54" s="406">
        <v>107740</v>
      </c>
      <c r="AO54" s="406"/>
      <c r="AP54" s="406">
        <v>107098</v>
      </c>
      <c r="AQ54" s="21"/>
      <c r="AR54" s="17"/>
      <c r="AS54" s="25">
        <v>102229</v>
      </c>
      <c r="AT54" s="20">
        <v>103589</v>
      </c>
      <c r="AU54" s="20"/>
      <c r="AV54" s="20">
        <v>105240</v>
      </c>
      <c r="AW54" s="20"/>
      <c r="AX54" s="20">
        <v>106074</v>
      </c>
      <c r="AY54" s="21"/>
      <c r="AZ54" s="17"/>
      <c r="BA54" s="25">
        <v>95419</v>
      </c>
      <c r="BB54" s="20">
        <v>97013</v>
      </c>
      <c r="BC54" s="20"/>
      <c r="BD54" s="20">
        <v>99961</v>
      </c>
      <c r="BE54" s="20"/>
      <c r="BF54" s="20">
        <v>100544</v>
      </c>
      <c r="BG54" s="21"/>
      <c r="BH54" s="17"/>
      <c r="BI54" s="25">
        <v>77745</v>
      </c>
      <c r="BJ54" s="20">
        <v>82087</v>
      </c>
      <c r="BK54" s="20"/>
      <c r="BL54" s="20">
        <v>83066</v>
      </c>
      <c r="BM54" s="20"/>
      <c r="BN54" s="20">
        <v>94718</v>
      </c>
      <c r="BO54" s="21"/>
      <c r="BP54" s="17"/>
      <c r="BQ54" s="25">
        <v>79767</v>
      </c>
      <c r="BR54" s="20">
        <v>71898</v>
      </c>
      <c r="BS54" s="20"/>
      <c r="BT54" s="20">
        <v>73655</v>
      </c>
      <c r="BU54" s="20"/>
      <c r="BV54" s="20">
        <v>75717</v>
      </c>
      <c r="BW54" s="21"/>
      <c r="BX54" s="12"/>
      <c r="BY54" s="25">
        <v>67683</v>
      </c>
      <c r="BZ54" s="20">
        <v>70749</v>
      </c>
      <c r="CA54" s="20"/>
      <c r="CB54" s="20">
        <v>74030</v>
      </c>
      <c r="CC54" s="20"/>
      <c r="CD54" s="20">
        <v>77443</v>
      </c>
      <c r="CE54" s="21"/>
      <c r="CF54" s="12"/>
      <c r="CG54" s="25">
        <v>58205</v>
      </c>
      <c r="CH54" s="39">
        <v>59931</v>
      </c>
      <c r="CI54" s="20"/>
      <c r="CJ54" s="39">
        <v>62198</v>
      </c>
      <c r="CK54" s="20"/>
      <c r="CL54" s="39">
        <v>64916</v>
      </c>
      <c r="CM54" s="21"/>
      <c r="CN54" s="26"/>
      <c r="CO54" s="25">
        <v>52333</v>
      </c>
      <c r="CP54" s="39">
        <v>53584</v>
      </c>
      <c r="CQ54" s="20"/>
      <c r="CR54" s="39">
        <v>54678</v>
      </c>
      <c r="CS54" s="20"/>
      <c r="CT54" s="39">
        <v>56096</v>
      </c>
      <c r="CU54" s="21"/>
      <c r="CV54" s="26"/>
      <c r="CW54" s="25">
        <v>48404</v>
      </c>
      <c r="CX54" s="39">
        <v>48722</v>
      </c>
      <c r="CY54" s="20"/>
      <c r="CZ54" s="39">
        <v>50343</v>
      </c>
      <c r="DA54" s="20"/>
      <c r="DB54" s="39">
        <v>51433</v>
      </c>
      <c r="DC54" s="21"/>
      <c r="DD54" s="26"/>
      <c r="DE54" s="25">
        <v>44560</v>
      </c>
      <c r="DF54" s="39">
        <v>45269</v>
      </c>
      <c r="DG54" s="20"/>
      <c r="DH54" s="39">
        <v>46228</v>
      </c>
      <c r="DI54" s="20"/>
      <c r="DJ54" s="39">
        <v>48342</v>
      </c>
      <c r="DK54" s="21"/>
      <c r="DL54" s="26"/>
      <c r="DM54" s="25">
        <v>0</v>
      </c>
      <c r="DN54" s="39">
        <v>0</v>
      </c>
      <c r="DO54" s="20"/>
      <c r="DP54" s="39">
        <v>44639</v>
      </c>
      <c r="DQ54" s="20"/>
      <c r="DR54" s="39">
        <v>43812</v>
      </c>
      <c r="DS54" s="21"/>
    </row>
    <row r="55" spans="1:123" ht="7.5" customHeight="1" x14ac:dyDescent="0.25">
      <c r="B55" s="5"/>
      <c r="C55" s="17"/>
      <c r="D55" s="17"/>
      <c r="E55" s="575"/>
      <c r="F55" s="406"/>
      <c r="G55" s="406"/>
      <c r="H55" s="406"/>
      <c r="I55" s="406"/>
      <c r="J55" s="406"/>
      <c r="K55" s="21"/>
      <c r="L55" s="604"/>
      <c r="M55" s="575"/>
      <c r="N55" s="406"/>
      <c r="O55" s="406"/>
      <c r="P55" s="406"/>
      <c r="Q55" s="445"/>
      <c r="R55" s="406"/>
      <c r="S55" s="21"/>
      <c r="T55" s="483"/>
      <c r="U55" s="25"/>
      <c r="V55" s="406"/>
      <c r="W55" s="406"/>
      <c r="X55" s="406"/>
      <c r="Y55" s="406"/>
      <c r="Z55" s="406"/>
      <c r="AA55" s="21"/>
      <c r="AB55" s="17"/>
      <c r="AC55" s="25"/>
      <c r="AD55" s="406"/>
      <c r="AE55" s="406"/>
      <c r="AF55" s="406"/>
      <c r="AG55" s="406"/>
      <c r="AH55" s="406"/>
      <c r="AI55" s="21"/>
      <c r="AJ55" s="17"/>
      <c r="AK55" s="25"/>
      <c r="AL55" s="406"/>
      <c r="AM55" s="406"/>
      <c r="AN55" s="406"/>
      <c r="AO55" s="406"/>
      <c r="AP55" s="406"/>
      <c r="AQ55" s="21"/>
      <c r="AR55" s="17"/>
      <c r="AS55" s="25"/>
      <c r="AT55" s="20"/>
      <c r="AU55" s="20"/>
      <c r="AV55" s="20"/>
      <c r="AW55" s="20"/>
      <c r="AX55" s="20"/>
      <c r="AY55" s="21"/>
      <c r="AZ55" s="17"/>
      <c r="BA55" s="25"/>
      <c r="BB55" s="20"/>
      <c r="BC55" s="20"/>
      <c r="BD55" s="20"/>
      <c r="BE55" s="20"/>
      <c r="BF55" s="20"/>
      <c r="BG55" s="21"/>
      <c r="BH55" s="17"/>
      <c r="BI55" s="25"/>
      <c r="BJ55" s="20"/>
      <c r="BK55" s="20"/>
      <c r="BL55" s="20"/>
      <c r="BM55" s="20"/>
      <c r="BN55" s="20"/>
      <c r="BO55" s="21"/>
      <c r="BP55" s="17"/>
      <c r="BQ55" s="25"/>
      <c r="BR55" s="20"/>
      <c r="BS55" s="20"/>
      <c r="BT55" s="20"/>
      <c r="BU55" s="20"/>
      <c r="BV55" s="20"/>
      <c r="BW55" s="21"/>
      <c r="BX55" s="6"/>
      <c r="BY55" s="25"/>
      <c r="BZ55" s="20"/>
      <c r="CA55" s="20"/>
      <c r="CB55" s="20"/>
      <c r="CC55" s="20"/>
      <c r="CD55" s="20"/>
      <c r="CE55" s="21"/>
      <c r="CF55" s="6"/>
      <c r="CG55" s="25"/>
      <c r="CH55" s="36"/>
      <c r="CI55" s="36"/>
      <c r="CJ55" s="36"/>
      <c r="CK55" s="36"/>
      <c r="CL55" s="36"/>
      <c r="CM55" s="37"/>
      <c r="CN55" s="6"/>
      <c r="CO55" s="25"/>
      <c r="CP55" s="36"/>
      <c r="CQ55" s="36"/>
      <c r="CR55" s="36"/>
      <c r="CS55" s="36"/>
      <c r="CT55" s="36"/>
      <c r="CU55" s="37"/>
      <c r="CV55" s="6"/>
      <c r="CW55" s="25"/>
      <c r="CX55" s="36"/>
      <c r="CY55" s="36"/>
      <c r="CZ55" s="36"/>
      <c r="DA55" s="36"/>
      <c r="DB55" s="36"/>
      <c r="DC55" s="37"/>
      <c r="DD55" s="6"/>
      <c r="DE55" s="25"/>
      <c r="DF55" s="36"/>
      <c r="DG55" s="36"/>
      <c r="DH55" s="36"/>
      <c r="DI55" s="36"/>
      <c r="DJ55" s="36"/>
      <c r="DK55" s="37"/>
      <c r="DL55" s="6"/>
      <c r="DM55" s="25"/>
      <c r="DN55" s="36"/>
      <c r="DO55" s="36"/>
      <c r="DP55" s="36"/>
      <c r="DQ55" s="36"/>
      <c r="DR55" s="36"/>
      <c r="DS55" s="37"/>
    </row>
    <row r="56" spans="1:123" s="14" customFormat="1" x14ac:dyDescent="0.25">
      <c r="A56" s="4" t="s">
        <v>231</v>
      </c>
      <c r="B56" s="16" t="s">
        <v>66</v>
      </c>
      <c r="C56" s="17"/>
      <c r="D56" s="17"/>
      <c r="E56" s="575">
        <v>22</v>
      </c>
      <c r="F56" s="454">
        <v>184</v>
      </c>
      <c r="G56" s="454">
        <v>206</v>
      </c>
      <c r="H56" s="454">
        <v>458</v>
      </c>
      <c r="I56" s="454">
        <v>664</v>
      </c>
      <c r="J56" s="454"/>
      <c r="K56" s="372"/>
      <c r="L56" s="604"/>
      <c r="M56" s="575">
        <v>23</v>
      </c>
      <c r="N56" s="454"/>
      <c r="O56" s="454">
        <v>274</v>
      </c>
      <c r="P56" s="454">
        <f>Q56-O56</f>
        <v>107</v>
      </c>
      <c r="Q56" s="445">
        <v>381</v>
      </c>
      <c r="R56" s="454">
        <f>S56-Q56</f>
        <v>379</v>
      </c>
      <c r="S56" s="372">
        <v>760</v>
      </c>
      <c r="T56" s="483"/>
      <c r="U56" s="371">
        <v>131</v>
      </c>
      <c r="V56" s="454">
        <f>W56-U56</f>
        <v>409</v>
      </c>
      <c r="W56" s="454">
        <v>540</v>
      </c>
      <c r="X56" s="454"/>
      <c r="Y56" s="454">
        <v>734</v>
      </c>
      <c r="Z56" s="454"/>
      <c r="AA56" s="372">
        <v>806</v>
      </c>
      <c r="AB56" s="17"/>
      <c r="AC56" s="371">
        <v>0</v>
      </c>
      <c r="AD56" s="454">
        <v>0</v>
      </c>
      <c r="AE56" s="454">
        <v>0</v>
      </c>
      <c r="AF56" s="454">
        <v>0</v>
      </c>
      <c r="AG56" s="454">
        <v>0</v>
      </c>
      <c r="AH56" s="454">
        <v>0</v>
      </c>
      <c r="AI56" s="372">
        <v>0</v>
      </c>
      <c r="AJ56" s="17"/>
      <c r="AK56" s="25">
        <v>98</v>
      </c>
      <c r="AL56" s="442">
        <v>26</v>
      </c>
      <c r="AM56" s="406">
        <v>124</v>
      </c>
      <c r="AN56" s="406">
        <v>250</v>
      </c>
      <c r="AO56" s="406">
        <v>374</v>
      </c>
      <c r="AP56" s="406">
        <v>108</v>
      </c>
      <c r="AQ56" s="21">
        <v>482</v>
      </c>
      <c r="AR56" s="17"/>
      <c r="AS56" s="25">
        <v>71</v>
      </c>
      <c r="AT56" s="103">
        <v>166</v>
      </c>
      <c r="AU56" s="20">
        <v>237</v>
      </c>
      <c r="AV56" s="103">
        <v>346</v>
      </c>
      <c r="AW56" s="20">
        <v>583</v>
      </c>
      <c r="AX56" s="103">
        <v>22</v>
      </c>
      <c r="AY56" s="21">
        <v>605</v>
      </c>
      <c r="AZ56" s="17"/>
      <c r="BA56" s="25">
        <v>288</v>
      </c>
      <c r="BB56" s="103">
        <v>119</v>
      </c>
      <c r="BC56" s="20">
        <v>407</v>
      </c>
      <c r="BD56" s="103">
        <v>239</v>
      </c>
      <c r="BE56" s="20">
        <v>646</v>
      </c>
      <c r="BF56" s="103">
        <v>91</v>
      </c>
      <c r="BG56" s="21">
        <v>737</v>
      </c>
      <c r="BH56" s="17"/>
      <c r="BI56" s="25">
        <v>137</v>
      </c>
      <c r="BJ56" s="103">
        <v>353</v>
      </c>
      <c r="BK56" s="20">
        <v>490</v>
      </c>
      <c r="BL56" s="103">
        <v>298</v>
      </c>
      <c r="BM56" s="20">
        <v>788</v>
      </c>
      <c r="BN56" s="103">
        <v>253</v>
      </c>
      <c r="BO56" s="21">
        <v>1041</v>
      </c>
      <c r="BP56" s="17"/>
      <c r="BQ56" s="25">
        <v>45</v>
      </c>
      <c r="BR56" s="20">
        <v>176</v>
      </c>
      <c r="BS56" s="20">
        <v>221</v>
      </c>
      <c r="BT56" s="20">
        <v>220</v>
      </c>
      <c r="BU56" s="20">
        <v>441</v>
      </c>
      <c r="BV56" s="20">
        <v>385</v>
      </c>
      <c r="BW56" s="21">
        <v>826</v>
      </c>
      <c r="BX56" s="12"/>
      <c r="BY56" s="25">
        <v>875</v>
      </c>
      <c r="BZ56" s="20">
        <v>59</v>
      </c>
      <c r="CA56" s="20">
        <v>934</v>
      </c>
      <c r="CB56" s="20">
        <v>399</v>
      </c>
      <c r="CC56" s="20">
        <v>1333</v>
      </c>
      <c r="CD56" s="20">
        <v>210</v>
      </c>
      <c r="CE56" s="21">
        <v>1543</v>
      </c>
      <c r="CF56" s="12"/>
      <c r="CG56" s="25">
        <v>87</v>
      </c>
      <c r="CH56" s="39">
        <v>28</v>
      </c>
      <c r="CI56" s="39">
        <v>115</v>
      </c>
      <c r="CJ56" s="39">
        <v>183</v>
      </c>
      <c r="CK56" s="39">
        <v>298</v>
      </c>
      <c r="CL56" s="39">
        <v>614</v>
      </c>
      <c r="CM56" s="40">
        <v>912</v>
      </c>
      <c r="CN56" s="30"/>
      <c r="CO56" s="25">
        <v>334</v>
      </c>
      <c r="CP56" s="39">
        <v>381</v>
      </c>
      <c r="CQ56" s="39">
        <v>715</v>
      </c>
      <c r="CR56" s="39">
        <v>352</v>
      </c>
      <c r="CS56" s="39">
        <v>1067</v>
      </c>
      <c r="CT56" s="39">
        <v>437</v>
      </c>
      <c r="CU56" s="40">
        <v>1504</v>
      </c>
      <c r="CV56" s="30"/>
      <c r="CW56" s="25">
        <v>61</v>
      </c>
      <c r="CX56" s="39">
        <v>143</v>
      </c>
      <c r="CY56" s="39">
        <v>204</v>
      </c>
      <c r="CZ56" s="39">
        <v>259</v>
      </c>
      <c r="DA56" s="39">
        <v>463</v>
      </c>
      <c r="DB56" s="39">
        <v>380</v>
      </c>
      <c r="DC56" s="40">
        <v>843</v>
      </c>
      <c r="DD56" s="30"/>
      <c r="DE56" s="25">
        <v>185</v>
      </c>
      <c r="DF56" s="39">
        <v>203</v>
      </c>
      <c r="DG56" s="39">
        <v>388</v>
      </c>
      <c r="DH56" s="39">
        <v>348</v>
      </c>
      <c r="DI56" s="39">
        <v>736</v>
      </c>
      <c r="DJ56" s="39">
        <v>260</v>
      </c>
      <c r="DK56" s="40">
        <v>996</v>
      </c>
      <c r="DL56" s="30"/>
      <c r="DM56" s="25">
        <v>0</v>
      </c>
      <c r="DN56" s="39">
        <v>0</v>
      </c>
      <c r="DO56" s="39">
        <v>0</v>
      </c>
      <c r="DP56" s="39">
        <v>62</v>
      </c>
      <c r="DQ56" s="39">
        <v>62</v>
      </c>
      <c r="DR56" s="39">
        <v>13</v>
      </c>
      <c r="DS56" s="40">
        <v>75</v>
      </c>
    </row>
    <row r="57" spans="1:123" s="14" customFormat="1" ht="10.5" customHeight="1" x14ac:dyDescent="0.25">
      <c r="A57" s="4"/>
      <c r="B57" s="16"/>
      <c r="C57" s="17"/>
      <c r="D57" s="17"/>
      <c r="E57" s="575"/>
      <c r="F57" s="454"/>
      <c r="G57" s="454"/>
      <c r="H57" s="454"/>
      <c r="I57" s="454"/>
      <c r="J57" s="454"/>
      <c r="K57" s="372"/>
      <c r="L57" s="604"/>
      <c r="M57" s="575"/>
      <c r="N57" s="454"/>
      <c r="O57" s="454"/>
      <c r="P57" s="454"/>
      <c r="Q57" s="445"/>
      <c r="R57" s="454"/>
      <c r="S57" s="372"/>
      <c r="T57" s="483"/>
      <c r="U57" s="371"/>
      <c r="V57" s="454"/>
      <c r="W57" s="454"/>
      <c r="X57" s="454"/>
      <c r="Y57" s="454"/>
      <c r="Z57" s="454"/>
      <c r="AA57" s="372"/>
      <c r="AB57" s="17"/>
      <c r="AC57" s="371"/>
      <c r="AD57" s="454"/>
      <c r="AE57" s="454"/>
      <c r="AF57" s="454"/>
      <c r="AG57" s="454"/>
      <c r="AH57" s="454"/>
      <c r="AI57" s="372"/>
      <c r="AJ57" s="17"/>
      <c r="AK57" s="25"/>
      <c r="AL57" s="442"/>
      <c r="AM57" s="406"/>
      <c r="AN57" s="406"/>
      <c r="AO57" s="406"/>
      <c r="AP57" s="406"/>
      <c r="AQ57" s="21"/>
      <c r="AR57" s="17"/>
      <c r="AS57" s="25"/>
      <c r="AT57" s="103"/>
      <c r="AU57" s="20"/>
      <c r="AV57" s="103"/>
      <c r="AW57" s="20"/>
      <c r="AX57" s="103"/>
      <c r="AY57" s="21"/>
      <c r="AZ57" s="17"/>
      <c r="BA57" s="25"/>
      <c r="BB57" s="103"/>
      <c r="BC57" s="20"/>
      <c r="BD57" s="103"/>
      <c r="BE57" s="20"/>
      <c r="BF57" s="103"/>
      <c r="BG57" s="21"/>
      <c r="BH57" s="17"/>
      <c r="BI57" s="25"/>
      <c r="BJ57" s="103"/>
      <c r="BK57" s="20"/>
      <c r="BL57" s="103"/>
      <c r="BM57" s="20"/>
      <c r="BN57" s="103"/>
      <c r="BO57" s="21"/>
      <c r="BP57" s="17"/>
      <c r="BQ57" s="25"/>
      <c r="BR57" s="20"/>
      <c r="BS57" s="20"/>
      <c r="BT57" s="20"/>
      <c r="BU57" s="20"/>
      <c r="BV57" s="20"/>
      <c r="BW57" s="21"/>
      <c r="BX57" s="12"/>
      <c r="BY57" s="25"/>
      <c r="BZ57" s="20"/>
      <c r="CA57" s="20"/>
      <c r="CB57" s="20"/>
      <c r="CC57" s="20"/>
      <c r="CD57" s="20"/>
      <c r="CE57" s="21"/>
      <c r="CF57" s="12"/>
      <c r="CG57" s="25"/>
      <c r="CH57" s="39"/>
      <c r="CI57" s="39"/>
      <c r="CJ57" s="39"/>
      <c r="CK57" s="39"/>
      <c r="CL57" s="39"/>
      <c r="CM57" s="40"/>
      <c r="CN57" s="30"/>
      <c r="CO57" s="25"/>
      <c r="CP57" s="39"/>
      <c r="CQ57" s="39"/>
      <c r="CR57" s="39"/>
      <c r="CS57" s="39"/>
      <c r="CT57" s="39"/>
      <c r="CU57" s="40"/>
      <c r="CV57" s="30"/>
      <c r="CW57" s="25"/>
      <c r="CX57" s="39"/>
      <c r="CY57" s="39"/>
      <c r="CZ57" s="39"/>
      <c r="DA57" s="39"/>
      <c r="DB57" s="39"/>
      <c r="DC57" s="40"/>
      <c r="DD57" s="30"/>
      <c r="DE57" s="25"/>
      <c r="DF57" s="39"/>
      <c r="DG57" s="39"/>
      <c r="DH57" s="39"/>
      <c r="DI57" s="39"/>
      <c r="DJ57" s="39"/>
      <c r="DK57" s="40"/>
      <c r="DL57" s="30"/>
      <c r="DM57" s="25"/>
      <c r="DN57" s="39"/>
      <c r="DO57" s="39"/>
      <c r="DP57" s="39"/>
      <c r="DQ57" s="39"/>
      <c r="DR57" s="39"/>
      <c r="DS57" s="40"/>
    </row>
    <row r="58" spans="1:123" s="14" customFormat="1" x14ac:dyDescent="0.25">
      <c r="A58" s="4" t="s">
        <v>232</v>
      </c>
      <c r="B58" s="419" t="s">
        <v>170</v>
      </c>
      <c r="C58" s="17"/>
      <c r="D58" s="17"/>
      <c r="E58" s="575">
        <v>0</v>
      </c>
      <c r="F58" s="454">
        <v>0</v>
      </c>
      <c r="G58" s="454">
        <v>0</v>
      </c>
      <c r="H58" s="454">
        <v>0</v>
      </c>
      <c r="I58" s="454">
        <v>0</v>
      </c>
      <c r="J58" s="454"/>
      <c r="K58" s="372"/>
      <c r="L58" s="604"/>
      <c r="M58" s="575">
        <v>0</v>
      </c>
      <c r="N58" s="454"/>
      <c r="O58" s="454">
        <v>0</v>
      </c>
      <c r="P58" s="454">
        <f>Q58-O58</f>
        <v>0</v>
      </c>
      <c r="Q58" s="445">
        <v>0</v>
      </c>
      <c r="R58" s="454">
        <f>S58-Q58</f>
        <v>0</v>
      </c>
      <c r="S58" s="372">
        <v>0</v>
      </c>
      <c r="T58" s="483"/>
      <c r="U58" s="371">
        <v>0</v>
      </c>
      <c r="V58" s="454"/>
      <c r="W58" s="454"/>
      <c r="X58" s="454"/>
      <c r="Y58" s="454"/>
      <c r="Z58" s="454"/>
      <c r="AA58" s="372">
        <v>0</v>
      </c>
      <c r="AB58" s="17"/>
      <c r="AC58" s="371">
        <v>30</v>
      </c>
      <c r="AD58" s="454">
        <f>AE58-AC58</f>
        <v>28</v>
      </c>
      <c r="AE58" s="454">
        <v>58</v>
      </c>
      <c r="AF58" s="454">
        <f>AG58-AE58</f>
        <v>86</v>
      </c>
      <c r="AG58" s="454">
        <v>144</v>
      </c>
      <c r="AH58" s="454">
        <f>AI58-AG58</f>
        <v>130</v>
      </c>
      <c r="AI58" s="372">
        <v>274</v>
      </c>
      <c r="AJ58" s="17"/>
      <c r="AK58" s="25">
        <v>0</v>
      </c>
      <c r="AL58" s="442">
        <v>0</v>
      </c>
      <c r="AM58" s="406">
        <v>0</v>
      </c>
      <c r="AN58" s="406">
        <v>0</v>
      </c>
      <c r="AO58" s="406">
        <v>0</v>
      </c>
      <c r="AP58" s="406">
        <v>0</v>
      </c>
      <c r="AQ58" s="21">
        <v>0</v>
      </c>
      <c r="AR58" s="17"/>
      <c r="AS58" s="25">
        <v>0</v>
      </c>
      <c r="AT58" s="103">
        <v>0</v>
      </c>
      <c r="AU58" s="20">
        <v>0</v>
      </c>
      <c r="AV58" s="103">
        <v>0</v>
      </c>
      <c r="AW58" s="20">
        <v>0</v>
      </c>
      <c r="AX58" s="103">
        <v>0</v>
      </c>
      <c r="AY58" s="21">
        <v>0</v>
      </c>
      <c r="AZ58" s="17"/>
      <c r="BA58" s="25">
        <v>0</v>
      </c>
      <c r="BB58" s="103">
        <v>0</v>
      </c>
      <c r="BC58" s="20">
        <v>0</v>
      </c>
      <c r="BD58" s="103">
        <v>0</v>
      </c>
      <c r="BE58" s="20">
        <v>0</v>
      </c>
      <c r="BF58" s="103">
        <v>0</v>
      </c>
      <c r="BG58" s="21">
        <v>0</v>
      </c>
      <c r="BH58" s="17"/>
      <c r="BI58" s="25">
        <v>0</v>
      </c>
      <c r="BJ58" s="103">
        <v>0</v>
      </c>
      <c r="BK58" s="20">
        <v>0</v>
      </c>
      <c r="BL58" s="103">
        <v>0</v>
      </c>
      <c r="BM58" s="20">
        <v>0</v>
      </c>
      <c r="BN58" s="103">
        <v>0</v>
      </c>
      <c r="BO58" s="21">
        <v>0</v>
      </c>
      <c r="BP58" s="17"/>
      <c r="BQ58" s="25">
        <v>0</v>
      </c>
      <c r="BR58" s="20">
        <v>0</v>
      </c>
      <c r="BS58" s="20">
        <v>0</v>
      </c>
      <c r="BT58" s="20">
        <v>0</v>
      </c>
      <c r="BU58" s="20">
        <v>0</v>
      </c>
      <c r="BV58" s="20">
        <v>0</v>
      </c>
      <c r="BW58" s="21">
        <v>0</v>
      </c>
      <c r="BX58" s="12"/>
      <c r="BY58" s="25"/>
      <c r="BZ58" s="20"/>
      <c r="CA58" s="20"/>
      <c r="CB58" s="20"/>
      <c r="CC58" s="20"/>
      <c r="CD58" s="20"/>
      <c r="CE58" s="21"/>
      <c r="CF58" s="12"/>
      <c r="CG58" s="25"/>
      <c r="CH58" s="39"/>
      <c r="CI58" s="39"/>
      <c r="CJ58" s="39"/>
      <c r="CK58" s="39"/>
      <c r="CL58" s="39"/>
      <c r="CM58" s="40"/>
      <c r="CN58" s="30"/>
      <c r="CO58" s="25"/>
      <c r="CP58" s="39"/>
      <c r="CQ58" s="39"/>
      <c r="CR58" s="39"/>
      <c r="CS58" s="39"/>
      <c r="CT58" s="39"/>
      <c r="CU58" s="40"/>
      <c r="CV58" s="30"/>
      <c r="CW58" s="25"/>
      <c r="CX58" s="39"/>
      <c r="CY58" s="39"/>
      <c r="CZ58" s="39"/>
      <c r="DA58" s="39"/>
      <c r="DB58" s="39"/>
      <c r="DC58" s="40"/>
      <c r="DD58" s="30"/>
      <c r="DE58" s="25"/>
      <c r="DF58" s="39"/>
      <c r="DG58" s="39"/>
      <c r="DH58" s="39"/>
      <c r="DI58" s="39"/>
      <c r="DJ58" s="39"/>
      <c r="DK58" s="40"/>
      <c r="DL58" s="30"/>
      <c r="DM58" s="25"/>
      <c r="DN58" s="39"/>
      <c r="DO58" s="39"/>
      <c r="DP58" s="39"/>
      <c r="DQ58" s="39"/>
      <c r="DR58" s="39"/>
      <c r="DS58" s="40"/>
    </row>
    <row r="59" spans="1:123" s="14" customFormat="1" x14ac:dyDescent="0.25">
      <c r="A59" s="4"/>
      <c r="B59" s="16"/>
      <c r="C59" s="17"/>
      <c r="D59" s="17"/>
      <c r="E59" s="25"/>
      <c r="F59" s="406"/>
      <c r="G59" s="406"/>
      <c r="H59" s="406"/>
      <c r="I59" s="406"/>
      <c r="J59" s="406"/>
      <c r="K59" s="21"/>
      <c r="L59" s="604"/>
      <c r="M59" s="25"/>
      <c r="N59" s="406"/>
      <c r="O59" s="406"/>
      <c r="P59" s="406"/>
      <c r="Q59" s="406"/>
      <c r="R59" s="406"/>
      <c r="S59" s="21"/>
      <c r="T59" s="483"/>
      <c r="U59" s="25"/>
      <c r="V59" s="406"/>
      <c r="W59" s="406"/>
      <c r="X59" s="406"/>
      <c r="Y59" s="406"/>
      <c r="Z59" s="406"/>
      <c r="AA59" s="21"/>
      <c r="AB59" s="17"/>
      <c r="AC59" s="25"/>
      <c r="AD59" s="406"/>
      <c r="AE59" s="406"/>
      <c r="AF59" s="406"/>
      <c r="AG59" s="406"/>
      <c r="AH59" s="406"/>
      <c r="AI59" s="21"/>
      <c r="AJ59" s="17"/>
      <c r="AK59" s="25"/>
      <c r="AL59" s="406"/>
      <c r="AM59" s="406"/>
      <c r="AN59" s="406"/>
      <c r="AO59" s="406"/>
      <c r="AP59" s="406"/>
      <c r="AQ59" s="21"/>
      <c r="AR59" s="17"/>
      <c r="AS59" s="25"/>
      <c r="AT59" s="20"/>
      <c r="AU59" s="20"/>
      <c r="AV59" s="20"/>
      <c r="AW59" s="20"/>
      <c r="AX59" s="20"/>
      <c r="AY59" s="21"/>
      <c r="AZ59" s="17"/>
      <c r="BA59" s="25"/>
      <c r="BB59" s="20"/>
      <c r="BC59" s="20"/>
      <c r="BD59" s="20"/>
      <c r="BE59" s="20"/>
      <c r="BF59" s="20"/>
      <c r="BG59" s="21"/>
      <c r="BH59" s="17"/>
      <c r="BI59" s="25"/>
      <c r="BJ59" s="20"/>
      <c r="BK59" s="20"/>
      <c r="BL59" s="20"/>
      <c r="BM59" s="20"/>
      <c r="BN59" s="20"/>
      <c r="BO59" s="21"/>
      <c r="BP59" s="17"/>
      <c r="BQ59" s="25"/>
      <c r="BR59" s="20"/>
      <c r="BS59" s="20"/>
      <c r="BT59" s="20"/>
      <c r="BU59" s="20"/>
      <c r="BV59" s="20"/>
      <c r="BW59" s="21"/>
      <c r="BX59" s="12"/>
      <c r="BY59" s="25"/>
      <c r="BZ59" s="20"/>
      <c r="CA59" s="20"/>
      <c r="CB59" s="20"/>
      <c r="CC59" s="20"/>
      <c r="CD59" s="20"/>
      <c r="CE59" s="21"/>
      <c r="CF59" s="12"/>
      <c r="CG59" s="25"/>
      <c r="CH59" s="39"/>
      <c r="CI59" s="39"/>
      <c r="CJ59" s="26"/>
      <c r="CK59" s="39"/>
      <c r="CL59" s="39"/>
      <c r="CM59" s="40"/>
      <c r="CN59" s="30"/>
      <c r="CO59" s="25"/>
      <c r="CP59" s="39"/>
      <c r="CQ59" s="39"/>
      <c r="CR59" s="26"/>
      <c r="CS59" s="39"/>
      <c r="CT59" s="39"/>
      <c r="CU59" s="40"/>
      <c r="CV59" s="30"/>
      <c r="CW59" s="25"/>
      <c r="CX59" s="39"/>
      <c r="CY59" s="39"/>
      <c r="CZ59" s="26"/>
      <c r="DA59" s="39"/>
      <c r="DB59" s="39"/>
      <c r="DC59" s="40"/>
      <c r="DD59" s="30"/>
      <c r="DE59" s="25"/>
      <c r="DF59" s="39"/>
      <c r="DG59" s="39"/>
      <c r="DH59" s="26"/>
      <c r="DI59" s="39"/>
      <c r="DJ59" s="39"/>
      <c r="DK59" s="40"/>
      <c r="DL59" s="30"/>
      <c r="DM59" s="25"/>
      <c r="DN59" s="39"/>
      <c r="DO59" s="39"/>
      <c r="DP59" s="26"/>
      <c r="DQ59" s="39"/>
      <c r="DR59" s="39"/>
      <c r="DS59" s="40"/>
    </row>
    <row r="60" spans="1:123" s="14" customFormat="1" x14ac:dyDescent="0.25">
      <c r="A60" s="4"/>
      <c r="B60" s="43" t="s">
        <v>67</v>
      </c>
      <c r="C60" s="17"/>
      <c r="D60" s="17"/>
      <c r="E60" s="25"/>
      <c r="F60" s="406"/>
      <c r="G60" s="406"/>
      <c r="H60" s="406"/>
      <c r="I60" s="406"/>
      <c r="J60" s="406"/>
      <c r="K60" s="21"/>
      <c r="L60" s="604"/>
      <c r="M60" s="25"/>
      <c r="N60" s="406"/>
      <c r="O60" s="406"/>
      <c r="P60" s="406"/>
      <c r="Q60" s="406"/>
      <c r="R60" s="406"/>
      <c r="S60" s="21"/>
      <c r="T60" s="483"/>
      <c r="U60" s="25"/>
      <c r="V60" s="406"/>
      <c r="W60" s="406"/>
      <c r="X60" s="406"/>
      <c r="Y60" s="406"/>
      <c r="Z60" s="406"/>
      <c r="AA60" s="21"/>
      <c r="AB60" s="17"/>
      <c r="AC60" s="25"/>
      <c r="AD60" s="406"/>
      <c r="AE60" s="406"/>
      <c r="AF60" s="406"/>
      <c r="AG60" s="406"/>
      <c r="AH60" s="406"/>
      <c r="AI60" s="21"/>
      <c r="AJ60" s="17"/>
      <c r="AK60" s="25"/>
      <c r="AL60" s="406"/>
      <c r="AM60" s="406"/>
      <c r="AN60" s="406"/>
      <c r="AO60" s="406"/>
      <c r="AP60" s="406"/>
      <c r="AQ60" s="21"/>
      <c r="AR60" s="17"/>
      <c r="AS60" s="25"/>
      <c r="AT60" s="20"/>
      <c r="AU60" s="20"/>
      <c r="AV60" s="20"/>
      <c r="AW60" s="20"/>
      <c r="AX60" s="20"/>
      <c r="AY60" s="21"/>
      <c r="AZ60" s="17"/>
      <c r="BA60" s="25"/>
      <c r="BB60" s="20"/>
      <c r="BC60" s="20"/>
      <c r="BD60" s="20"/>
      <c r="BE60" s="20"/>
      <c r="BF60" s="20"/>
      <c r="BG60" s="21"/>
      <c r="BH60" s="17"/>
      <c r="BI60" s="25"/>
      <c r="BJ60" s="20"/>
      <c r="BK60" s="20"/>
      <c r="BL60" s="20"/>
      <c r="BM60" s="20"/>
      <c r="BN60" s="20"/>
      <c r="BO60" s="21"/>
      <c r="BP60" s="17"/>
      <c r="BQ60" s="25"/>
      <c r="BR60" s="20"/>
      <c r="BS60" s="20"/>
      <c r="BT60" s="20"/>
      <c r="BU60" s="20"/>
      <c r="BV60" s="20"/>
      <c r="BW60" s="21"/>
      <c r="BX60" s="12"/>
      <c r="BY60" s="25"/>
      <c r="BZ60" s="20"/>
      <c r="CA60" s="20"/>
      <c r="CB60" s="20"/>
      <c r="CC60" s="20"/>
      <c r="CD60" s="20"/>
      <c r="CE60" s="21"/>
      <c r="CF60" s="12"/>
      <c r="CG60" s="25"/>
      <c r="CH60" s="26"/>
      <c r="CI60" s="39"/>
      <c r="CJ60" s="26"/>
      <c r="CK60" s="39"/>
      <c r="CL60" s="26"/>
      <c r="CM60" s="40"/>
      <c r="CN60" s="30"/>
      <c r="CO60" s="25"/>
      <c r="CP60" s="26"/>
      <c r="CQ60" s="39"/>
      <c r="CR60" s="26"/>
      <c r="CS60" s="39"/>
      <c r="CT60" s="44"/>
      <c r="CU60" s="40"/>
      <c r="CV60" s="30"/>
      <c r="CW60" s="25"/>
      <c r="CX60" s="26"/>
      <c r="CY60" s="39"/>
      <c r="CZ60" s="26"/>
      <c r="DA60" s="39"/>
      <c r="DB60" s="26"/>
      <c r="DC60" s="40"/>
      <c r="DD60" s="30"/>
      <c r="DE60" s="25"/>
      <c r="DF60" s="26"/>
      <c r="DG60" s="39"/>
      <c r="DH60" s="26"/>
      <c r="DI60" s="39"/>
      <c r="DJ60" s="26"/>
      <c r="DK60" s="40"/>
      <c r="DL60" s="30"/>
      <c r="DM60" s="25"/>
      <c r="DN60" s="26"/>
      <c r="DO60" s="39"/>
      <c r="DP60" s="26"/>
      <c r="DQ60" s="39"/>
      <c r="DR60" s="26"/>
      <c r="DS60" s="40"/>
    </row>
    <row r="61" spans="1:123" s="14" customFormat="1" x14ac:dyDescent="0.25">
      <c r="A61" s="4"/>
      <c r="B61" s="16" t="s">
        <v>68</v>
      </c>
      <c r="C61" s="17"/>
      <c r="D61" s="17"/>
      <c r="E61" s="25"/>
      <c r="F61" s="406"/>
      <c r="G61" s="406"/>
      <c r="H61" s="406"/>
      <c r="I61" s="406"/>
      <c r="J61" s="406"/>
      <c r="K61" s="557"/>
      <c r="L61" s="604"/>
      <c r="M61" s="25"/>
      <c r="N61" s="406"/>
      <c r="O61" s="406"/>
      <c r="P61" s="406"/>
      <c r="Q61" s="406"/>
      <c r="R61" s="406"/>
      <c r="S61" s="557">
        <v>0.81599999999999995</v>
      </c>
      <c r="T61" s="483"/>
      <c r="U61" s="25"/>
      <c r="V61" s="406"/>
      <c r="W61" s="406"/>
      <c r="X61" s="406"/>
      <c r="Y61" s="406"/>
      <c r="Z61" s="406"/>
      <c r="AA61" s="557">
        <v>0.81599999999999995</v>
      </c>
      <c r="AB61" s="17"/>
      <c r="AC61" s="25"/>
      <c r="AD61" s="406"/>
      <c r="AE61" s="406"/>
      <c r="AF61" s="406"/>
      <c r="AG61" s="406"/>
      <c r="AH61" s="243">
        <v>0.81699999999999995</v>
      </c>
      <c r="AI61" s="21"/>
      <c r="AJ61" s="17"/>
      <c r="AK61" s="25"/>
      <c r="AL61" s="448"/>
      <c r="AM61" s="450"/>
      <c r="AN61" s="450"/>
      <c r="AO61" s="450"/>
      <c r="AP61" s="243">
        <v>0.81399999999999995</v>
      </c>
      <c r="AQ61" s="68"/>
      <c r="AR61" s="17"/>
      <c r="AS61" s="25"/>
      <c r="AT61" s="20"/>
      <c r="AU61" s="20"/>
      <c r="AV61" s="20"/>
      <c r="AW61" s="20"/>
      <c r="AX61" s="243">
        <v>0.81899999999999995</v>
      </c>
      <c r="AY61" s="68"/>
      <c r="AZ61" s="17"/>
      <c r="BA61" s="25"/>
      <c r="BB61" s="20"/>
      <c r="BC61" s="20"/>
      <c r="BD61" s="20"/>
      <c r="BE61" s="20"/>
      <c r="BF61" s="243">
        <v>0.81899999999999995</v>
      </c>
      <c r="BG61" s="68"/>
      <c r="BH61" s="17"/>
      <c r="BI61" s="25"/>
      <c r="BJ61" s="20"/>
      <c r="BK61" s="20"/>
      <c r="BL61" s="20"/>
      <c r="BM61" s="20"/>
      <c r="BN61" s="243">
        <v>0.82699999999999996</v>
      </c>
      <c r="BO61" s="68"/>
      <c r="BP61" s="17"/>
      <c r="BQ61" s="25"/>
      <c r="BR61" s="20"/>
      <c r="BS61" s="20"/>
      <c r="BT61" s="20"/>
      <c r="BU61" s="20"/>
      <c r="BV61" s="243">
        <v>0.83499999999999996</v>
      </c>
      <c r="BW61" s="68"/>
      <c r="BX61" s="12"/>
      <c r="BY61" s="25"/>
      <c r="BZ61" s="20"/>
      <c r="CA61" s="20"/>
      <c r="CB61" s="20"/>
      <c r="CC61" s="20"/>
      <c r="CD61" s="243">
        <v>0.81</v>
      </c>
      <c r="CE61" s="68"/>
      <c r="CF61" s="12"/>
      <c r="CG61" s="25"/>
      <c r="CH61" s="39"/>
      <c r="CI61" s="46"/>
      <c r="CJ61" s="26"/>
      <c r="CK61" s="46"/>
      <c r="CL61" s="47">
        <v>0.81</v>
      </c>
      <c r="CM61" s="48"/>
      <c r="CN61" s="30"/>
      <c r="CO61" s="25"/>
      <c r="CP61" s="39"/>
      <c r="CQ61" s="46"/>
      <c r="CR61" s="26"/>
      <c r="CS61" s="46"/>
      <c r="CT61" s="47">
        <v>0.81</v>
      </c>
      <c r="CU61" s="48"/>
      <c r="CV61" s="30"/>
      <c r="CW61" s="25"/>
      <c r="CX61" s="39"/>
      <c r="CY61" s="46"/>
      <c r="CZ61" s="26"/>
      <c r="DA61" s="46"/>
      <c r="DB61" s="47">
        <v>0.81100000000000005</v>
      </c>
      <c r="DC61" s="48"/>
      <c r="DD61" s="30"/>
      <c r="DE61" s="25"/>
      <c r="DF61" s="39"/>
      <c r="DG61" s="46"/>
      <c r="DH61" s="26"/>
      <c r="DI61" s="46"/>
      <c r="DJ61" s="47">
        <v>0.81100000000000005</v>
      </c>
      <c r="DK61" s="48"/>
      <c r="DL61" s="30"/>
      <c r="DM61" s="25">
        <v>0</v>
      </c>
      <c r="DN61" s="39">
        <v>0</v>
      </c>
      <c r="DO61" s="46"/>
      <c r="DP61" s="26">
        <v>0</v>
      </c>
      <c r="DQ61" s="46"/>
      <c r="DR61" s="47">
        <v>0.83899999999999997</v>
      </c>
      <c r="DS61" s="48"/>
    </row>
    <row r="62" spans="1:123" s="14" customFormat="1" ht="15.75" thickBot="1" x14ac:dyDescent="0.3">
      <c r="A62" s="4"/>
      <c r="B62" s="16" t="s">
        <v>69</v>
      </c>
      <c r="C62" s="20"/>
      <c r="D62" s="20"/>
      <c r="E62" s="50"/>
      <c r="F62" s="51"/>
      <c r="G62" s="51"/>
      <c r="H62" s="51"/>
      <c r="I62" s="51"/>
      <c r="J62" s="51"/>
      <c r="K62" s="558"/>
      <c r="L62" s="578"/>
      <c r="M62" s="50"/>
      <c r="N62" s="51"/>
      <c r="O62" s="51"/>
      <c r="P62" s="51"/>
      <c r="Q62" s="51"/>
      <c r="R62" s="51"/>
      <c r="S62" s="558">
        <v>0.72799999999999998</v>
      </c>
      <c r="T62" s="483"/>
      <c r="U62" s="50"/>
      <c r="V62" s="51"/>
      <c r="W62" s="51"/>
      <c r="X62" s="51"/>
      <c r="Y62" s="51"/>
      <c r="Z62" s="51"/>
      <c r="AA62" s="558">
        <v>0.72799999999999998</v>
      </c>
      <c r="AB62" s="20"/>
      <c r="AC62" s="50"/>
      <c r="AD62" s="51"/>
      <c r="AE62" s="51"/>
      <c r="AF62" s="51"/>
      <c r="AG62" s="51"/>
      <c r="AH62" s="244">
        <v>0.72699999999999998</v>
      </c>
      <c r="AI62" s="53"/>
      <c r="AJ62" s="20"/>
      <c r="AK62" s="50"/>
      <c r="AL62" s="244"/>
      <c r="AM62" s="52"/>
      <c r="AN62" s="52"/>
      <c r="AO62" s="52"/>
      <c r="AP62" s="244">
        <v>0.72599999999999998</v>
      </c>
      <c r="AQ62" s="71"/>
      <c r="AR62" s="20"/>
      <c r="AS62" s="50"/>
      <c r="AT62" s="51"/>
      <c r="AU62" s="51"/>
      <c r="AV62" s="51"/>
      <c r="AW62" s="51"/>
      <c r="AX62" s="244">
        <v>0.75800000000000001</v>
      </c>
      <c r="AY62" s="71"/>
      <c r="AZ62" s="20"/>
      <c r="BA62" s="50"/>
      <c r="BB62" s="51"/>
      <c r="BC62" s="51"/>
      <c r="BD62" s="51"/>
      <c r="BE62" s="51"/>
      <c r="BF62" s="244">
        <v>0.76400000000000001</v>
      </c>
      <c r="BG62" s="71"/>
      <c r="BH62" s="20"/>
      <c r="BI62" s="50"/>
      <c r="BJ62" s="51"/>
      <c r="BK62" s="51"/>
      <c r="BL62" s="51"/>
      <c r="BM62" s="51"/>
      <c r="BN62" s="244">
        <v>0.76600000000000001</v>
      </c>
      <c r="BO62" s="71"/>
      <c r="BP62" s="51"/>
      <c r="BQ62" s="50"/>
      <c r="BR62" s="51"/>
      <c r="BS62" s="51"/>
      <c r="BT62" s="51"/>
      <c r="BU62" s="51"/>
      <c r="BV62" s="244">
        <v>0.76900000000000002</v>
      </c>
      <c r="BW62" s="71"/>
      <c r="BX62" s="54"/>
      <c r="BY62" s="50"/>
      <c r="BZ62" s="51"/>
      <c r="CA62" s="51"/>
      <c r="CB62" s="51"/>
      <c r="CC62" s="51"/>
      <c r="CD62" s="244">
        <v>0.74199999999999999</v>
      </c>
      <c r="CE62" s="71"/>
      <c r="CF62" s="54"/>
      <c r="CG62" s="50"/>
      <c r="CH62" s="55"/>
      <c r="CI62" s="56"/>
      <c r="CJ62" s="57"/>
      <c r="CK62" s="56"/>
      <c r="CL62" s="58">
        <v>0.74299999999999999</v>
      </c>
      <c r="CM62" s="59"/>
      <c r="CN62" s="60"/>
      <c r="CO62" s="50"/>
      <c r="CP62" s="55"/>
      <c r="CQ62" s="56"/>
      <c r="CR62" s="57"/>
      <c r="CS62" s="56"/>
      <c r="CT62" s="58">
        <v>0.75</v>
      </c>
      <c r="CU62" s="59"/>
      <c r="CV62" s="60"/>
      <c r="CW62" s="50"/>
      <c r="CX62" s="55"/>
      <c r="CY62" s="56"/>
      <c r="CZ62" s="57"/>
      <c r="DA62" s="56"/>
      <c r="DB62" s="58">
        <v>0.77100000000000002</v>
      </c>
      <c r="DC62" s="59"/>
      <c r="DD62" s="60"/>
      <c r="DE62" s="50"/>
      <c r="DF62" s="55"/>
      <c r="DG62" s="56"/>
      <c r="DH62" s="57"/>
      <c r="DI62" s="56"/>
      <c r="DJ62" s="58">
        <v>0.746</v>
      </c>
      <c r="DK62" s="59"/>
      <c r="DL62" s="51"/>
      <c r="DM62" s="50">
        <v>0</v>
      </c>
      <c r="DN62" s="55">
        <v>0</v>
      </c>
      <c r="DO62" s="56"/>
      <c r="DP62" s="57">
        <v>0</v>
      </c>
      <c r="DQ62" s="56"/>
      <c r="DR62" s="58">
        <v>0.79900000000000004</v>
      </c>
      <c r="DS62" s="59"/>
    </row>
    <row r="63" spans="1:123" s="14" customFormat="1" x14ac:dyDescent="0.25">
      <c r="A63" s="4"/>
      <c r="C63" s="61"/>
      <c r="D63" s="61"/>
      <c r="E63" s="61"/>
      <c r="F63" s="61"/>
      <c r="G63" s="61"/>
      <c r="H63" s="61"/>
      <c r="I63" s="61"/>
      <c r="J63" s="61"/>
      <c r="K63" s="61"/>
      <c r="L63" s="61"/>
      <c r="M63" s="61"/>
      <c r="N63" s="61"/>
      <c r="O63" s="61"/>
      <c r="P63" s="61"/>
      <c r="Q63" s="61"/>
      <c r="R63" s="61"/>
      <c r="S63" s="61"/>
      <c r="T63" s="61"/>
      <c r="U63" s="528"/>
      <c r="V63" s="528"/>
      <c r="W63" s="61"/>
      <c r="X63" s="61"/>
      <c r="Y63" s="61"/>
      <c r="Z63" s="61"/>
      <c r="AA63" s="61"/>
      <c r="AB63" s="61"/>
      <c r="AC63" s="61"/>
      <c r="AD63" s="61"/>
      <c r="AE63" s="61"/>
      <c r="AF63" s="61"/>
      <c r="AG63" s="61"/>
      <c r="AH63" s="61"/>
      <c r="AI63" s="61"/>
      <c r="AJ63" s="61"/>
      <c r="AK63" s="434"/>
      <c r="AL63" s="434"/>
      <c r="AM63" s="434"/>
      <c r="AN63" s="434"/>
      <c r="AO63" s="434"/>
      <c r="AP63" s="434"/>
      <c r="AQ63" s="434"/>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Y63" s="61"/>
      <c r="BZ63" s="61"/>
      <c r="CA63" s="62"/>
      <c r="CB63" s="62"/>
      <c r="CC63" s="62"/>
      <c r="CD63" s="62"/>
      <c r="CE63" s="62"/>
      <c r="CG63" s="63"/>
      <c r="CH63" s="64"/>
      <c r="CI63" s="64"/>
      <c r="CK63" s="64"/>
      <c r="CL63" s="64"/>
      <c r="CN63" s="65"/>
      <c r="CO63" s="63"/>
      <c r="CP63" s="63"/>
      <c r="CQ63" s="64"/>
      <c r="CR63" s="64"/>
      <c r="CS63" s="64"/>
      <c r="CT63" s="64"/>
      <c r="CU63" s="64"/>
      <c r="CV63" s="65"/>
      <c r="CW63" s="63"/>
      <c r="CX63" s="63"/>
      <c r="CY63" s="64"/>
      <c r="CZ63" s="64"/>
      <c r="DA63" s="64"/>
      <c r="DB63" s="64"/>
      <c r="DC63" s="64"/>
      <c r="DD63" s="65"/>
      <c r="DE63" s="63"/>
      <c r="DF63" s="63"/>
      <c r="DG63" s="64"/>
      <c r="DH63" s="64"/>
      <c r="DI63" s="64"/>
      <c r="DJ63" s="64"/>
      <c r="DK63" s="64"/>
      <c r="DL63" s="65"/>
      <c r="DM63" s="63"/>
      <c r="DN63" s="63"/>
      <c r="DO63" s="64"/>
      <c r="DP63" s="64"/>
      <c r="DQ63" s="64"/>
      <c r="DR63" s="64"/>
      <c r="DS63" s="64"/>
    </row>
    <row r="64" spans="1:123" s="95" customFormat="1" hidden="1" outlineLevel="1" x14ac:dyDescent="0.25">
      <c r="A64" s="4"/>
      <c r="B64" s="275" t="s">
        <v>37</v>
      </c>
      <c r="E64" s="276">
        <f t="shared" ref="E64:K64" si="17">E18-E19-E20</f>
        <v>0</v>
      </c>
      <c r="F64" s="276">
        <f t="shared" si="17"/>
        <v>0</v>
      </c>
      <c r="G64" s="276">
        <f t="shared" si="17"/>
        <v>0</v>
      </c>
      <c r="H64" s="276">
        <f t="shared" si="17"/>
        <v>0</v>
      </c>
      <c r="I64" s="276">
        <f t="shared" si="17"/>
        <v>0</v>
      </c>
      <c r="J64" s="276">
        <f t="shared" si="17"/>
        <v>0</v>
      </c>
      <c r="K64" s="276">
        <f t="shared" si="17"/>
        <v>0</v>
      </c>
      <c r="M64" s="276">
        <f t="shared" ref="M64:S64" si="18">M18-M19-M20</f>
        <v>0</v>
      </c>
      <c r="N64" s="276">
        <f t="shared" si="18"/>
        <v>0</v>
      </c>
      <c r="O64" s="276">
        <f t="shared" si="18"/>
        <v>0</v>
      </c>
      <c r="P64" s="276">
        <f t="shared" si="18"/>
        <v>0</v>
      </c>
      <c r="Q64" s="276">
        <f t="shared" si="18"/>
        <v>0</v>
      </c>
      <c r="R64" s="276">
        <f t="shared" si="18"/>
        <v>0</v>
      </c>
      <c r="S64" s="276">
        <f t="shared" si="18"/>
        <v>0</v>
      </c>
      <c r="U64" s="276">
        <f t="shared" ref="U64:AA64" si="19">U18-U19-U20</f>
        <v>0</v>
      </c>
      <c r="V64" s="276">
        <f t="shared" si="19"/>
        <v>0</v>
      </c>
      <c r="W64" s="276">
        <f t="shared" si="19"/>
        <v>0</v>
      </c>
      <c r="X64" s="276">
        <f t="shared" si="19"/>
        <v>0</v>
      </c>
      <c r="Y64" s="276">
        <f t="shared" si="19"/>
        <v>0</v>
      </c>
      <c r="Z64" s="276">
        <f t="shared" si="19"/>
        <v>0</v>
      </c>
      <c r="AA64" s="276">
        <f t="shared" si="19"/>
        <v>0</v>
      </c>
      <c r="AC64" s="276">
        <f t="shared" ref="AC64:AI64" si="20">AC18-AC19-AC20</f>
        <v>0</v>
      </c>
      <c r="AD64" s="276">
        <f t="shared" si="20"/>
        <v>0</v>
      </c>
      <c r="AE64" s="276">
        <f t="shared" si="20"/>
        <v>0</v>
      </c>
      <c r="AF64" s="276">
        <f t="shared" si="20"/>
        <v>0</v>
      </c>
      <c r="AG64" s="276">
        <f t="shared" si="20"/>
        <v>0</v>
      </c>
      <c r="AH64" s="276">
        <f t="shared" si="20"/>
        <v>0</v>
      </c>
      <c r="AI64" s="276">
        <f t="shared" si="20"/>
        <v>0</v>
      </c>
      <c r="AK64" s="276">
        <f t="shared" ref="AK64:AQ64" si="21">AK18-AK19-AK20</f>
        <v>0</v>
      </c>
      <c r="AL64" s="276">
        <f t="shared" si="21"/>
        <v>0</v>
      </c>
      <c r="AM64" s="276">
        <f t="shared" si="21"/>
        <v>0</v>
      </c>
      <c r="AN64" s="276">
        <f t="shared" si="21"/>
        <v>0</v>
      </c>
      <c r="AO64" s="276">
        <f t="shared" si="21"/>
        <v>0</v>
      </c>
      <c r="AP64" s="276">
        <f t="shared" si="21"/>
        <v>0</v>
      </c>
      <c r="AQ64" s="276">
        <f t="shared" si="21"/>
        <v>0</v>
      </c>
      <c r="AS64" s="276">
        <f t="shared" ref="AS64:AY64" si="22">AS18-AS19-AS20</f>
        <v>0</v>
      </c>
      <c r="AT64" s="276">
        <f t="shared" si="22"/>
        <v>0</v>
      </c>
      <c r="AU64" s="276">
        <f t="shared" si="22"/>
        <v>0</v>
      </c>
      <c r="AV64" s="276">
        <f t="shared" si="22"/>
        <v>0</v>
      </c>
      <c r="AW64" s="276">
        <f t="shared" si="22"/>
        <v>0</v>
      </c>
      <c r="AX64" s="276">
        <f t="shared" si="22"/>
        <v>0</v>
      </c>
      <c r="AY64" s="276">
        <f t="shared" si="22"/>
        <v>0</v>
      </c>
      <c r="BA64" s="276">
        <f t="shared" ref="BA64:BG64" si="23">BA18-BA19-BA20</f>
        <v>0</v>
      </c>
      <c r="BB64" s="276">
        <f t="shared" si="23"/>
        <v>0</v>
      </c>
      <c r="BC64" s="276">
        <f t="shared" si="23"/>
        <v>0</v>
      </c>
      <c r="BD64" s="276">
        <f t="shared" si="23"/>
        <v>0</v>
      </c>
      <c r="BE64" s="276">
        <f t="shared" si="23"/>
        <v>0</v>
      </c>
      <c r="BF64" s="276">
        <f t="shared" si="23"/>
        <v>0</v>
      </c>
      <c r="BG64" s="276">
        <f t="shared" si="23"/>
        <v>0</v>
      </c>
      <c r="BI64" s="276">
        <f t="shared" ref="BI64:BO64" si="24">BI18-BI19-BI20</f>
        <v>0</v>
      </c>
      <c r="BJ64" s="276">
        <f t="shared" si="24"/>
        <v>0</v>
      </c>
      <c r="BK64" s="276">
        <f t="shared" si="24"/>
        <v>0</v>
      </c>
      <c r="BL64" s="276">
        <f t="shared" si="24"/>
        <v>0</v>
      </c>
      <c r="BM64" s="276">
        <f t="shared" si="24"/>
        <v>0</v>
      </c>
      <c r="BN64" s="276">
        <f t="shared" si="24"/>
        <v>0</v>
      </c>
      <c r="BO64" s="276">
        <f t="shared" si="24"/>
        <v>0</v>
      </c>
      <c r="BQ64" s="276">
        <f t="shared" ref="BQ64:BW64" si="25">BQ18-BQ19-BQ20</f>
        <v>0</v>
      </c>
      <c r="BR64" s="276">
        <f t="shared" si="25"/>
        <v>0</v>
      </c>
      <c r="BS64" s="276">
        <f t="shared" si="25"/>
        <v>0</v>
      </c>
      <c r="BT64" s="276">
        <f t="shared" si="25"/>
        <v>0</v>
      </c>
      <c r="BU64" s="276">
        <f t="shared" si="25"/>
        <v>0</v>
      </c>
      <c r="BV64" s="276">
        <f t="shared" si="25"/>
        <v>0</v>
      </c>
      <c r="BW64" s="276">
        <f t="shared" si="25"/>
        <v>0</v>
      </c>
      <c r="BY64" s="276">
        <f t="shared" ref="BY64:CE64" si="26">BY18-BY19-BY20</f>
        <v>0</v>
      </c>
      <c r="BZ64" s="276">
        <f t="shared" si="26"/>
        <v>0</v>
      </c>
      <c r="CA64" s="276">
        <f t="shared" si="26"/>
        <v>0</v>
      </c>
      <c r="CB64" s="276">
        <f t="shared" si="26"/>
        <v>0</v>
      </c>
      <c r="CC64" s="276">
        <f t="shared" si="26"/>
        <v>0</v>
      </c>
      <c r="CD64" s="276">
        <f t="shared" si="26"/>
        <v>0</v>
      </c>
      <c r="CE64" s="276">
        <f t="shared" si="26"/>
        <v>0</v>
      </c>
      <c r="CG64" s="276">
        <f t="shared" ref="CG64:CM64" si="27">CG18-CG19-CG20</f>
        <v>0</v>
      </c>
      <c r="CH64" s="276">
        <f t="shared" si="27"/>
        <v>0</v>
      </c>
      <c r="CI64" s="276">
        <f t="shared" si="27"/>
        <v>0</v>
      </c>
      <c r="CJ64" s="276">
        <f t="shared" si="27"/>
        <v>0</v>
      </c>
      <c r="CK64" s="276">
        <f t="shared" si="27"/>
        <v>0</v>
      </c>
      <c r="CL64" s="276">
        <f t="shared" si="27"/>
        <v>0</v>
      </c>
      <c r="CM64" s="276">
        <f t="shared" si="27"/>
        <v>0</v>
      </c>
      <c r="CO64" s="276">
        <f t="shared" ref="CO64:CU64" si="28">CO18-CO19-CO20</f>
        <v>0</v>
      </c>
      <c r="CP64" s="276">
        <f t="shared" si="28"/>
        <v>0</v>
      </c>
      <c r="CQ64" s="276">
        <f t="shared" si="28"/>
        <v>0</v>
      </c>
      <c r="CR64" s="276">
        <f t="shared" si="28"/>
        <v>0</v>
      </c>
      <c r="CS64" s="276">
        <f t="shared" si="28"/>
        <v>0</v>
      </c>
      <c r="CT64" s="276">
        <f t="shared" si="28"/>
        <v>0</v>
      </c>
      <c r="CU64" s="276">
        <f t="shared" si="28"/>
        <v>0</v>
      </c>
      <c r="CW64" s="276">
        <f t="shared" ref="CW64:DC64" si="29">CW18-CW19-CW20</f>
        <v>0</v>
      </c>
      <c r="CX64" s="276">
        <f t="shared" si="29"/>
        <v>0</v>
      </c>
      <c r="CY64" s="276">
        <f t="shared" si="29"/>
        <v>0</v>
      </c>
      <c r="CZ64" s="276">
        <f t="shared" si="29"/>
        <v>0</v>
      </c>
      <c r="DA64" s="276">
        <f t="shared" si="29"/>
        <v>0</v>
      </c>
      <c r="DB64" s="276">
        <f t="shared" si="29"/>
        <v>0</v>
      </c>
      <c r="DC64" s="276">
        <f t="shared" si="29"/>
        <v>0</v>
      </c>
      <c r="DE64" s="276">
        <f t="shared" ref="DE64:DK64" si="30">DE18-DE19-DE20</f>
        <v>0</v>
      </c>
      <c r="DF64" s="276">
        <f t="shared" si="30"/>
        <v>0</v>
      </c>
      <c r="DG64" s="276">
        <f t="shared" si="30"/>
        <v>0</v>
      </c>
      <c r="DH64" s="276">
        <f t="shared" si="30"/>
        <v>0</v>
      </c>
      <c r="DI64" s="276">
        <f t="shared" si="30"/>
        <v>0</v>
      </c>
      <c r="DJ64" s="276">
        <f t="shared" si="30"/>
        <v>0</v>
      </c>
      <c r="DK64" s="276">
        <f t="shared" si="30"/>
        <v>0</v>
      </c>
      <c r="DM64" s="276">
        <f t="shared" ref="DM64:DS64" si="31">DM18-DM19-DM20</f>
        <v>0</v>
      </c>
      <c r="DN64" s="276">
        <f t="shared" si="31"/>
        <v>0</v>
      </c>
      <c r="DO64" s="276">
        <f t="shared" si="31"/>
        <v>0</v>
      </c>
      <c r="DP64" s="276">
        <f t="shared" si="31"/>
        <v>0</v>
      </c>
      <c r="DQ64" s="276">
        <f t="shared" si="31"/>
        <v>0</v>
      </c>
      <c r="DR64" s="276">
        <f t="shared" si="31"/>
        <v>0</v>
      </c>
      <c r="DS64" s="276">
        <f t="shared" si="31"/>
        <v>0</v>
      </c>
    </row>
    <row r="65" spans="1:123" s="95" customFormat="1" hidden="1" outlineLevel="1" x14ac:dyDescent="0.25">
      <c r="A65" s="4"/>
      <c r="B65" s="277" t="s">
        <v>38</v>
      </c>
      <c r="E65" s="276">
        <f t="shared" ref="E65:K65" si="32">E20-SUM(E21:E24)-E25</f>
        <v>0</v>
      </c>
      <c r="F65" s="276">
        <f t="shared" si="32"/>
        <v>0</v>
      </c>
      <c r="G65" s="276">
        <f t="shared" si="32"/>
        <v>0</v>
      </c>
      <c r="H65" s="276">
        <f t="shared" si="32"/>
        <v>0</v>
      </c>
      <c r="I65" s="276">
        <f t="shared" si="32"/>
        <v>0</v>
      </c>
      <c r="J65" s="276">
        <f t="shared" si="32"/>
        <v>0</v>
      </c>
      <c r="K65" s="276">
        <f t="shared" si="32"/>
        <v>0</v>
      </c>
      <c r="M65" s="276">
        <f t="shared" ref="M65:S65" si="33">M20-SUM(M21:M24)-M25</f>
        <v>0</v>
      </c>
      <c r="N65" s="276">
        <f t="shared" si="33"/>
        <v>0</v>
      </c>
      <c r="O65" s="276">
        <f t="shared" si="33"/>
        <v>0</v>
      </c>
      <c r="P65" s="276">
        <f t="shared" si="33"/>
        <v>0</v>
      </c>
      <c r="Q65" s="276">
        <f t="shared" si="33"/>
        <v>0</v>
      </c>
      <c r="R65" s="276">
        <f t="shared" si="33"/>
        <v>-0.30000000000472937</v>
      </c>
      <c r="S65" s="276">
        <f t="shared" si="33"/>
        <v>-0.30000000000291038</v>
      </c>
      <c r="U65" s="276">
        <f t="shared" ref="U65:AA65" si="34">U20-SUM(U21:U24)-U25</f>
        <v>0</v>
      </c>
      <c r="V65" s="276">
        <f t="shared" si="34"/>
        <v>0</v>
      </c>
      <c r="W65" s="276">
        <f t="shared" si="34"/>
        <v>0</v>
      </c>
      <c r="X65" s="276">
        <f t="shared" si="34"/>
        <v>0</v>
      </c>
      <c r="Y65" s="276">
        <f t="shared" si="34"/>
        <v>0</v>
      </c>
      <c r="Z65" s="276">
        <f t="shared" si="34"/>
        <v>0</v>
      </c>
      <c r="AA65" s="276">
        <f t="shared" si="34"/>
        <v>0</v>
      </c>
      <c r="AC65" s="276">
        <f t="shared" ref="AC65:AI65" si="35">AC20-SUM(AC21:AC24)-AC25</f>
        <v>0</v>
      </c>
      <c r="AD65" s="276">
        <f t="shared" si="35"/>
        <v>0</v>
      </c>
      <c r="AE65" s="276">
        <f t="shared" si="35"/>
        <v>0</v>
      </c>
      <c r="AF65" s="276">
        <f t="shared" si="35"/>
        <v>0</v>
      </c>
      <c r="AG65" s="276">
        <f t="shared" si="35"/>
        <v>0</v>
      </c>
      <c r="AH65" s="276">
        <f t="shared" si="35"/>
        <v>0</v>
      </c>
      <c r="AI65" s="276">
        <f t="shared" si="35"/>
        <v>0</v>
      </c>
      <c r="AK65" s="276">
        <f t="shared" ref="AK65:AQ65" si="36">AK20-SUM(AK21:AK24)-AK25</f>
        <v>0</v>
      </c>
      <c r="AL65" s="276">
        <f t="shared" si="36"/>
        <v>0</v>
      </c>
      <c r="AM65" s="276">
        <f t="shared" si="36"/>
        <v>0</v>
      </c>
      <c r="AN65" s="276">
        <f t="shared" si="36"/>
        <v>0</v>
      </c>
      <c r="AO65" s="276">
        <f t="shared" si="36"/>
        <v>0</v>
      </c>
      <c r="AP65" s="276">
        <f t="shared" si="36"/>
        <v>0</v>
      </c>
      <c r="AQ65" s="276">
        <f t="shared" si="36"/>
        <v>0</v>
      </c>
      <c r="AS65" s="276">
        <f t="shared" ref="AS65:AY65" si="37">AS20-SUM(AS21:AS24)-AS25</f>
        <v>0</v>
      </c>
      <c r="AT65" s="276">
        <f t="shared" si="37"/>
        <v>0</v>
      </c>
      <c r="AU65" s="276">
        <f t="shared" si="37"/>
        <v>0</v>
      </c>
      <c r="AV65" s="276">
        <f t="shared" si="37"/>
        <v>0</v>
      </c>
      <c r="AW65" s="276">
        <f t="shared" si="37"/>
        <v>0</v>
      </c>
      <c r="AX65" s="276">
        <f t="shared" si="37"/>
        <v>0</v>
      </c>
      <c r="AY65" s="276">
        <f t="shared" si="37"/>
        <v>0</v>
      </c>
      <c r="BA65" s="276">
        <f t="shared" ref="BA65:BG65" si="38">BA20-SUM(BA21:BA24)-BA25</f>
        <v>0</v>
      </c>
      <c r="BB65" s="276">
        <f t="shared" si="38"/>
        <v>0</v>
      </c>
      <c r="BC65" s="276">
        <f t="shared" si="38"/>
        <v>0</v>
      </c>
      <c r="BD65" s="276">
        <f t="shared" si="38"/>
        <v>0</v>
      </c>
      <c r="BE65" s="276">
        <f t="shared" si="38"/>
        <v>0</v>
      </c>
      <c r="BF65" s="276">
        <f t="shared" si="38"/>
        <v>0</v>
      </c>
      <c r="BG65" s="276">
        <f t="shared" si="38"/>
        <v>0</v>
      </c>
      <c r="BI65" s="276">
        <f t="shared" ref="BI65:BO65" si="39">BI20-SUM(BI21:BI24)-BI25</f>
        <v>0</v>
      </c>
      <c r="BJ65" s="276">
        <f t="shared" si="39"/>
        <v>0</v>
      </c>
      <c r="BK65" s="276">
        <f t="shared" si="39"/>
        <v>0</v>
      </c>
      <c r="BL65" s="276">
        <f t="shared" si="39"/>
        <v>0</v>
      </c>
      <c r="BM65" s="276">
        <f t="shared" si="39"/>
        <v>0</v>
      </c>
      <c r="BN65" s="276">
        <f t="shared" si="39"/>
        <v>0</v>
      </c>
      <c r="BO65" s="276">
        <f t="shared" si="39"/>
        <v>0</v>
      </c>
      <c r="BQ65" s="276">
        <f t="shared" ref="BQ65:BW65" si="40">BQ20-SUM(BQ21:BQ24)-BQ25</f>
        <v>0</v>
      </c>
      <c r="BR65" s="276">
        <f t="shared" si="40"/>
        <v>0</v>
      </c>
      <c r="BS65" s="276">
        <f t="shared" si="40"/>
        <v>0</v>
      </c>
      <c r="BT65" s="276">
        <f t="shared" si="40"/>
        <v>0</v>
      </c>
      <c r="BU65" s="276">
        <f t="shared" si="40"/>
        <v>0</v>
      </c>
      <c r="BV65" s="276">
        <f t="shared" si="40"/>
        <v>0</v>
      </c>
      <c r="BW65" s="276">
        <f t="shared" si="40"/>
        <v>0</v>
      </c>
      <c r="BY65" s="276">
        <f t="shared" ref="BY65:CE65" si="41">BY20-SUM(BY21:BY24)-BY25</f>
        <v>0</v>
      </c>
      <c r="BZ65" s="276">
        <f t="shared" si="41"/>
        <v>0</v>
      </c>
      <c r="CA65" s="276">
        <f t="shared" si="41"/>
        <v>0</v>
      </c>
      <c r="CB65" s="276">
        <f t="shared" si="41"/>
        <v>0</v>
      </c>
      <c r="CC65" s="276">
        <f t="shared" si="41"/>
        <v>0</v>
      </c>
      <c r="CD65" s="276">
        <f t="shared" si="41"/>
        <v>0</v>
      </c>
      <c r="CE65" s="276">
        <f t="shared" si="41"/>
        <v>0</v>
      </c>
      <c r="CG65" s="276">
        <f t="shared" ref="CG65:CM65" si="42">CG20-SUM(CG21:CG24)-CG25</f>
        <v>0</v>
      </c>
      <c r="CH65" s="276">
        <f t="shared" si="42"/>
        <v>0</v>
      </c>
      <c r="CI65" s="276">
        <f t="shared" si="42"/>
        <v>0</v>
      </c>
      <c r="CJ65" s="276">
        <f t="shared" si="42"/>
        <v>0</v>
      </c>
      <c r="CK65" s="276">
        <f t="shared" si="42"/>
        <v>0</v>
      </c>
      <c r="CL65" s="276">
        <f t="shared" si="42"/>
        <v>0</v>
      </c>
      <c r="CM65" s="276">
        <f t="shared" si="42"/>
        <v>0</v>
      </c>
      <c r="CO65" s="276">
        <f t="shared" ref="CO65:CU65" si="43">CO20-SUM(CO21:CO24)-CO25</f>
        <v>0</v>
      </c>
      <c r="CP65" s="276">
        <f t="shared" si="43"/>
        <v>0</v>
      </c>
      <c r="CQ65" s="276">
        <f t="shared" si="43"/>
        <v>0</v>
      </c>
      <c r="CR65" s="276">
        <f t="shared" si="43"/>
        <v>0</v>
      </c>
      <c r="CS65" s="276">
        <f t="shared" si="43"/>
        <v>0</v>
      </c>
      <c r="CT65" s="276">
        <f t="shared" si="43"/>
        <v>0</v>
      </c>
      <c r="CU65" s="276">
        <f t="shared" si="43"/>
        <v>0</v>
      </c>
      <c r="CW65" s="276">
        <f t="shared" ref="CW65:DC65" si="44">CW20-SUM(CW21:CW24)-CW25</f>
        <v>0</v>
      </c>
      <c r="CX65" s="276">
        <f t="shared" si="44"/>
        <v>0</v>
      </c>
      <c r="CY65" s="276">
        <f t="shared" si="44"/>
        <v>0</v>
      </c>
      <c r="CZ65" s="276">
        <f t="shared" si="44"/>
        <v>0</v>
      </c>
      <c r="DA65" s="276">
        <f t="shared" si="44"/>
        <v>0</v>
      </c>
      <c r="DB65" s="276">
        <f t="shared" si="44"/>
        <v>0</v>
      </c>
      <c r="DC65" s="276">
        <f t="shared" si="44"/>
        <v>0</v>
      </c>
      <c r="DE65" s="276">
        <f t="shared" ref="DE65:DK65" si="45">DE20-SUM(DE21:DE24)-DE25</f>
        <v>0</v>
      </c>
      <c r="DF65" s="276">
        <f t="shared" si="45"/>
        <v>0</v>
      </c>
      <c r="DG65" s="276">
        <f t="shared" si="45"/>
        <v>0</v>
      </c>
      <c r="DH65" s="276">
        <f t="shared" si="45"/>
        <v>0</v>
      </c>
      <c r="DI65" s="276">
        <f t="shared" si="45"/>
        <v>0</v>
      </c>
      <c r="DJ65" s="276">
        <f t="shared" si="45"/>
        <v>0</v>
      </c>
      <c r="DK65" s="276">
        <f t="shared" si="45"/>
        <v>0</v>
      </c>
      <c r="DM65" s="276">
        <f t="shared" ref="DM65:DS65" si="46">DM20-SUM(DM21:DM24)-DM25</f>
        <v>0</v>
      </c>
      <c r="DN65" s="276">
        <f t="shared" si="46"/>
        <v>0</v>
      </c>
      <c r="DO65" s="276">
        <f t="shared" si="46"/>
        <v>0</v>
      </c>
      <c r="DP65" s="276">
        <f t="shared" si="46"/>
        <v>0</v>
      </c>
      <c r="DQ65" s="276">
        <f t="shared" si="46"/>
        <v>0</v>
      </c>
      <c r="DR65" s="276">
        <f t="shared" si="46"/>
        <v>0</v>
      </c>
      <c r="DS65" s="276">
        <f t="shared" si="46"/>
        <v>0</v>
      </c>
    </row>
    <row r="66" spans="1:123" s="95" customFormat="1" hidden="1" outlineLevel="1" x14ac:dyDescent="0.25">
      <c r="A66" s="4"/>
      <c r="B66" s="277" t="s">
        <v>24</v>
      </c>
      <c r="E66" s="276">
        <f t="shared" ref="E66:K66" si="47">E25-SUM(E26:E29)-E30</f>
        <v>0</v>
      </c>
      <c r="F66" s="276">
        <f t="shared" si="47"/>
        <v>0</v>
      </c>
      <c r="G66" s="276">
        <f t="shared" si="47"/>
        <v>0</v>
      </c>
      <c r="H66" s="276">
        <f t="shared" si="47"/>
        <v>0</v>
      </c>
      <c r="I66" s="276">
        <f t="shared" si="47"/>
        <v>0</v>
      </c>
      <c r="J66" s="276">
        <f t="shared" si="47"/>
        <v>0</v>
      </c>
      <c r="K66" s="276">
        <f t="shared" si="47"/>
        <v>0</v>
      </c>
      <c r="M66" s="276">
        <f t="shared" ref="M66:S66" si="48">M25-SUM(M26:M29)-M30</f>
        <v>0</v>
      </c>
      <c r="N66" s="276">
        <f t="shared" si="48"/>
        <v>0</v>
      </c>
      <c r="O66" s="276">
        <f t="shared" si="48"/>
        <v>0</v>
      </c>
      <c r="P66" s="276">
        <f t="shared" si="48"/>
        <v>0</v>
      </c>
      <c r="Q66" s="276">
        <f t="shared" si="48"/>
        <v>0</v>
      </c>
      <c r="R66" s="276">
        <f t="shared" si="48"/>
        <v>6.0000000003128662E-3</v>
      </c>
      <c r="S66" s="276">
        <f t="shared" si="48"/>
        <v>6.0000000016771082E-3</v>
      </c>
      <c r="U66" s="276">
        <f t="shared" ref="U66:AA66" si="49">U25-SUM(U26:U29)-U30</f>
        <v>0</v>
      </c>
      <c r="V66" s="276">
        <f t="shared" si="49"/>
        <v>0</v>
      </c>
      <c r="W66" s="276">
        <f t="shared" si="49"/>
        <v>0</v>
      </c>
      <c r="X66" s="276">
        <f t="shared" si="49"/>
        <v>0</v>
      </c>
      <c r="Y66" s="276">
        <f t="shared" si="49"/>
        <v>0</v>
      </c>
      <c r="Z66" s="276">
        <f t="shared" si="49"/>
        <v>0</v>
      </c>
      <c r="AA66" s="276">
        <f t="shared" si="49"/>
        <v>0</v>
      </c>
      <c r="AC66" s="276">
        <f t="shared" ref="AC66:AI66" si="50">AC25-SUM(AC26:AC29)-AC30</f>
        <v>0</v>
      </c>
      <c r="AD66" s="276">
        <f t="shared" si="50"/>
        <v>0</v>
      </c>
      <c r="AE66" s="276">
        <f t="shared" si="50"/>
        <v>0</v>
      </c>
      <c r="AF66" s="276">
        <f t="shared" si="50"/>
        <v>0</v>
      </c>
      <c r="AG66" s="276">
        <f t="shared" si="50"/>
        <v>0</v>
      </c>
      <c r="AH66" s="276">
        <f t="shared" si="50"/>
        <v>0</v>
      </c>
      <c r="AI66" s="276">
        <f t="shared" si="50"/>
        <v>0</v>
      </c>
      <c r="AK66" s="276">
        <f t="shared" ref="AK66:AQ66" si="51">AK25-SUM(AK26:AK29)-AK30</f>
        <v>0</v>
      </c>
      <c r="AL66" s="276">
        <f t="shared" si="51"/>
        <v>0</v>
      </c>
      <c r="AM66" s="276">
        <f t="shared" si="51"/>
        <v>0</v>
      </c>
      <c r="AN66" s="276">
        <f t="shared" si="51"/>
        <v>0</v>
      </c>
      <c r="AO66" s="276">
        <f t="shared" si="51"/>
        <v>0</v>
      </c>
      <c r="AP66" s="276">
        <f t="shared" si="51"/>
        <v>0</v>
      </c>
      <c r="AQ66" s="276">
        <f t="shared" si="51"/>
        <v>0</v>
      </c>
      <c r="AS66" s="276">
        <f t="shared" ref="AS66:AY66" si="52">AS25-SUM(AS26:AS29)-AS30</f>
        <v>0</v>
      </c>
      <c r="AT66" s="276">
        <f t="shared" si="52"/>
        <v>0</v>
      </c>
      <c r="AU66" s="276">
        <f t="shared" si="52"/>
        <v>0</v>
      </c>
      <c r="AV66" s="276">
        <f t="shared" si="52"/>
        <v>0</v>
      </c>
      <c r="AW66" s="276">
        <f t="shared" si="52"/>
        <v>0</v>
      </c>
      <c r="AX66" s="276">
        <f t="shared" si="52"/>
        <v>0</v>
      </c>
      <c r="AY66" s="276">
        <f t="shared" si="52"/>
        <v>0</v>
      </c>
      <c r="BA66" s="276">
        <f t="shared" ref="BA66:BG66" si="53">BA25-SUM(BA26:BA29)-BA30</f>
        <v>0</v>
      </c>
      <c r="BB66" s="276">
        <f t="shared" si="53"/>
        <v>0</v>
      </c>
      <c r="BC66" s="276">
        <f t="shared" si="53"/>
        <v>0</v>
      </c>
      <c r="BD66" s="276">
        <f t="shared" si="53"/>
        <v>0</v>
      </c>
      <c r="BE66" s="276">
        <f t="shared" si="53"/>
        <v>0</v>
      </c>
      <c r="BF66" s="276">
        <f t="shared" si="53"/>
        <v>0</v>
      </c>
      <c r="BG66" s="276">
        <f t="shared" si="53"/>
        <v>0</v>
      </c>
      <c r="BI66" s="276">
        <f t="shared" ref="BI66:BO66" si="54">BI25-SUM(BI26:BI29)-BI30</f>
        <v>0</v>
      </c>
      <c r="BJ66" s="276">
        <f t="shared" si="54"/>
        <v>0</v>
      </c>
      <c r="BK66" s="276">
        <f t="shared" si="54"/>
        <v>0</v>
      </c>
      <c r="BL66" s="276">
        <f t="shared" si="54"/>
        <v>0</v>
      </c>
      <c r="BM66" s="276">
        <f t="shared" si="54"/>
        <v>0</v>
      </c>
      <c r="BN66" s="276">
        <f t="shared" si="54"/>
        <v>0</v>
      </c>
      <c r="BO66" s="276">
        <f t="shared" si="54"/>
        <v>0</v>
      </c>
      <c r="BQ66" s="276">
        <f t="shared" ref="BQ66:BW66" si="55">BQ25-SUM(BQ26:BQ29)-BQ30</f>
        <v>0</v>
      </c>
      <c r="BR66" s="276">
        <f t="shared" si="55"/>
        <v>0</v>
      </c>
      <c r="BS66" s="276">
        <f t="shared" si="55"/>
        <v>0</v>
      </c>
      <c r="BT66" s="276">
        <f t="shared" si="55"/>
        <v>0</v>
      </c>
      <c r="BU66" s="276">
        <f t="shared" si="55"/>
        <v>0</v>
      </c>
      <c r="BV66" s="276">
        <f t="shared" si="55"/>
        <v>0</v>
      </c>
      <c r="BW66" s="276">
        <f t="shared" si="55"/>
        <v>0</v>
      </c>
      <c r="BY66" s="276">
        <f t="shared" ref="BY66:CE66" si="56">BY25-SUM(BY26:BY29)-BY30</f>
        <v>0</v>
      </c>
      <c r="BZ66" s="276">
        <f t="shared" si="56"/>
        <v>0</v>
      </c>
      <c r="CA66" s="276">
        <f t="shared" si="56"/>
        <v>0</v>
      </c>
      <c r="CB66" s="276">
        <f t="shared" si="56"/>
        <v>0</v>
      </c>
      <c r="CC66" s="276">
        <f t="shared" si="56"/>
        <v>0</v>
      </c>
      <c r="CD66" s="276">
        <f t="shared" si="56"/>
        <v>0</v>
      </c>
      <c r="CE66" s="276">
        <f t="shared" si="56"/>
        <v>0</v>
      </c>
      <c r="CG66" s="276">
        <f t="shared" ref="CG66:CM66" si="57">CG25-SUM(CG26:CG29)-CG30</f>
        <v>0</v>
      </c>
      <c r="CH66" s="276">
        <f t="shared" si="57"/>
        <v>0</v>
      </c>
      <c r="CI66" s="276">
        <f t="shared" si="57"/>
        <v>0</v>
      </c>
      <c r="CJ66" s="276">
        <f t="shared" si="57"/>
        <v>0</v>
      </c>
      <c r="CK66" s="276">
        <f t="shared" si="57"/>
        <v>0</v>
      </c>
      <c r="CL66" s="276">
        <f t="shared" si="57"/>
        <v>0</v>
      </c>
      <c r="CM66" s="276">
        <f t="shared" si="57"/>
        <v>0</v>
      </c>
      <c r="CO66" s="276">
        <f t="shared" ref="CO66:CU66" si="58">CO25-SUM(CO26:CO29)-CO30</f>
        <v>0</v>
      </c>
      <c r="CP66" s="276">
        <f t="shared" si="58"/>
        <v>0</v>
      </c>
      <c r="CQ66" s="276">
        <f t="shared" si="58"/>
        <v>0</v>
      </c>
      <c r="CR66" s="276">
        <f t="shared" si="58"/>
        <v>0</v>
      </c>
      <c r="CS66" s="276">
        <f t="shared" si="58"/>
        <v>0</v>
      </c>
      <c r="CT66" s="276">
        <f t="shared" si="58"/>
        <v>0</v>
      </c>
      <c r="CU66" s="276">
        <f t="shared" si="58"/>
        <v>0</v>
      </c>
      <c r="CW66" s="276">
        <f t="shared" ref="CW66:DC66" si="59">CW25-SUM(CW26:CW29)-CW30</f>
        <v>0</v>
      </c>
      <c r="CX66" s="276">
        <f t="shared" si="59"/>
        <v>0</v>
      </c>
      <c r="CY66" s="276">
        <f t="shared" si="59"/>
        <v>0</v>
      </c>
      <c r="CZ66" s="276">
        <f t="shared" si="59"/>
        <v>0</v>
      </c>
      <c r="DA66" s="276">
        <f t="shared" si="59"/>
        <v>0</v>
      </c>
      <c r="DB66" s="276">
        <f t="shared" si="59"/>
        <v>0</v>
      </c>
      <c r="DC66" s="276">
        <f t="shared" si="59"/>
        <v>0</v>
      </c>
      <c r="DE66" s="276">
        <f t="shared" ref="DE66:DK66" si="60">DE25-SUM(DE26:DE29)-DE30</f>
        <v>0</v>
      </c>
      <c r="DF66" s="276">
        <f t="shared" si="60"/>
        <v>0</v>
      </c>
      <c r="DG66" s="276">
        <f t="shared" si="60"/>
        <v>0</v>
      </c>
      <c r="DH66" s="276">
        <f t="shared" si="60"/>
        <v>0</v>
      </c>
      <c r="DI66" s="276">
        <f t="shared" si="60"/>
        <v>0</v>
      </c>
      <c r="DJ66" s="276">
        <f t="shared" si="60"/>
        <v>0</v>
      </c>
      <c r="DK66" s="276">
        <f t="shared" si="60"/>
        <v>0</v>
      </c>
      <c r="DM66" s="276">
        <f t="shared" ref="DM66:DS66" si="61">DM25-SUM(DM26:DM29)-DM30</f>
        <v>0</v>
      </c>
      <c r="DN66" s="276">
        <f t="shared" si="61"/>
        <v>0</v>
      </c>
      <c r="DO66" s="276">
        <f t="shared" si="61"/>
        <v>0</v>
      </c>
      <c r="DP66" s="276">
        <f t="shared" si="61"/>
        <v>0</v>
      </c>
      <c r="DQ66" s="276">
        <f t="shared" si="61"/>
        <v>0</v>
      </c>
      <c r="DR66" s="276">
        <f t="shared" si="61"/>
        <v>0</v>
      </c>
      <c r="DS66" s="276">
        <f t="shared" si="61"/>
        <v>0</v>
      </c>
    </row>
    <row r="67" spans="1:123" s="95" customFormat="1" hidden="1" outlineLevel="1" x14ac:dyDescent="0.25">
      <c r="A67" s="4"/>
      <c r="B67" s="277" t="s">
        <v>57</v>
      </c>
      <c r="E67" s="276">
        <f t="shared" ref="E67:K67" si="62">SUM(E30:E36)-E37</f>
        <v>0</v>
      </c>
      <c r="F67" s="276">
        <f t="shared" si="62"/>
        <v>0</v>
      </c>
      <c r="G67" s="276">
        <f t="shared" si="62"/>
        <v>0</v>
      </c>
      <c r="H67" s="276">
        <f t="shared" si="62"/>
        <v>0</v>
      </c>
      <c r="I67" s="276">
        <f t="shared" si="62"/>
        <v>0</v>
      </c>
      <c r="J67" s="276">
        <f t="shared" si="62"/>
        <v>0</v>
      </c>
      <c r="K67" s="276">
        <f t="shared" si="62"/>
        <v>0</v>
      </c>
      <c r="M67" s="276">
        <f t="shared" ref="M67:S67" si="63">SUM(M30:M36)-M37</f>
        <v>0</v>
      </c>
      <c r="N67" s="276">
        <f t="shared" si="63"/>
        <v>0</v>
      </c>
      <c r="O67" s="276">
        <f t="shared" si="63"/>
        <v>0</v>
      </c>
      <c r="P67" s="276">
        <f t="shared" si="63"/>
        <v>0</v>
      </c>
      <c r="Q67" s="276">
        <f t="shared" si="63"/>
        <v>0</v>
      </c>
      <c r="R67" s="276">
        <f t="shared" si="63"/>
        <v>-2.3999999998522981E-2</v>
      </c>
      <c r="S67" s="276">
        <f t="shared" si="63"/>
        <v>-2.3999999999432475E-2</v>
      </c>
      <c r="U67" s="276">
        <f t="shared" ref="U67:AA67" si="64">SUM(U30:U36)-U37</f>
        <v>0</v>
      </c>
      <c r="V67" s="276">
        <f t="shared" si="64"/>
        <v>0</v>
      </c>
      <c r="W67" s="276">
        <f t="shared" si="64"/>
        <v>0</v>
      </c>
      <c r="X67" s="276">
        <f t="shared" si="64"/>
        <v>0</v>
      </c>
      <c r="Y67" s="276">
        <f t="shared" si="64"/>
        <v>0</v>
      </c>
      <c r="Z67" s="276">
        <f t="shared" si="64"/>
        <v>0</v>
      </c>
      <c r="AA67" s="276">
        <f t="shared" si="64"/>
        <v>0</v>
      </c>
      <c r="AC67" s="276">
        <f t="shared" ref="AC67:AI67" si="65">SUM(AC30:AC36)-AC37</f>
        <v>0</v>
      </c>
      <c r="AD67" s="276">
        <f t="shared" si="65"/>
        <v>0</v>
      </c>
      <c r="AE67" s="276">
        <f t="shared" si="65"/>
        <v>0</v>
      </c>
      <c r="AF67" s="276">
        <f t="shared" si="65"/>
        <v>0</v>
      </c>
      <c r="AG67" s="276">
        <f t="shared" si="65"/>
        <v>0</v>
      </c>
      <c r="AH67" s="276">
        <f t="shared" si="65"/>
        <v>0</v>
      </c>
      <c r="AI67" s="276">
        <f t="shared" si="65"/>
        <v>0</v>
      </c>
      <c r="AK67" s="276">
        <f t="shared" ref="AK67:AQ67" si="66">SUM(AK30:AK36)-AK37</f>
        <v>0</v>
      </c>
      <c r="AL67" s="276">
        <f t="shared" si="66"/>
        <v>0</v>
      </c>
      <c r="AM67" s="276">
        <f t="shared" si="66"/>
        <v>0</v>
      </c>
      <c r="AN67" s="276">
        <f t="shared" si="66"/>
        <v>0</v>
      </c>
      <c r="AO67" s="276">
        <f t="shared" si="66"/>
        <v>0</v>
      </c>
      <c r="AP67" s="276">
        <f t="shared" si="66"/>
        <v>0</v>
      </c>
      <c r="AQ67" s="276">
        <f t="shared" si="66"/>
        <v>0</v>
      </c>
      <c r="AS67" s="276">
        <f t="shared" ref="AS67:AY67" si="67">SUM(AS30:AS36)-AS37</f>
        <v>0</v>
      </c>
      <c r="AT67" s="276">
        <f t="shared" si="67"/>
        <v>0</v>
      </c>
      <c r="AU67" s="276">
        <f t="shared" si="67"/>
        <v>0</v>
      </c>
      <c r="AV67" s="276">
        <f t="shared" si="67"/>
        <v>0</v>
      </c>
      <c r="AW67" s="276">
        <f t="shared" si="67"/>
        <v>0</v>
      </c>
      <c r="AX67" s="276">
        <f t="shared" si="67"/>
        <v>0</v>
      </c>
      <c r="AY67" s="276">
        <f t="shared" si="67"/>
        <v>0</v>
      </c>
      <c r="BA67" s="276">
        <f t="shared" ref="BA67:BG67" si="68">SUM(BA30:BA36)-BA37</f>
        <v>0</v>
      </c>
      <c r="BB67" s="276">
        <f t="shared" si="68"/>
        <v>0</v>
      </c>
      <c r="BC67" s="276">
        <f t="shared" si="68"/>
        <v>0</v>
      </c>
      <c r="BD67" s="276">
        <f t="shared" si="68"/>
        <v>0</v>
      </c>
      <c r="BE67" s="276">
        <f t="shared" si="68"/>
        <v>0</v>
      </c>
      <c r="BF67" s="276">
        <f t="shared" si="68"/>
        <v>0</v>
      </c>
      <c r="BG67" s="276">
        <f t="shared" si="68"/>
        <v>0</v>
      </c>
      <c r="BI67" s="276">
        <f t="shared" ref="BI67:BO67" si="69">SUM(BI30:BI36)-BI37</f>
        <v>0</v>
      </c>
      <c r="BJ67" s="276">
        <f t="shared" si="69"/>
        <v>0</v>
      </c>
      <c r="BK67" s="276">
        <f t="shared" si="69"/>
        <v>0</v>
      </c>
      <c r="BL67" s="276">
        <f t="shared" si="69"/>
        <v>0</v>
      </c>
      <c r="BM67" s="276">
        <f t="shared" si="69"/>
        <v>0</v>
      </c>
      <c r="BN67" s="276">
        <f t="shared" si="69"/>
        <v>0</v>
      </c>
      <c r="BO67" s="276">
        <f t="shared" si="69"/>
        <v>0</v>
      </c>
      <c r="BQ67" s="276">
        <f t="shared" ref="BQ67:BW67" si="70">SUM(BQ30:BQ36)-BQ37</f>
        <v>0</v>
      </c>
      <c r="BR67" s="276">
        <f t="shared" si="70"/>
        <v>0</v>
      </c>
      <c r="BS67" s="276">
        <f t="shared" si="70"/>
        <v>0</v>
      </c>
      <c r="BT67" s="276">
        <f t="shared" si="70"/>
        <v>0</v>
      </c>
      <c r="BU67" s="276">
        <f t="shared" si="70"/>
        <v>0</v>
      </c>
      <c r="BV67" s="276">
        <f t="shared" si="70"/>
        <v>0</v>
      </c>
      <c r="BW67" s="276">
        <f t="shared" si="70"/>
        <v>0</v>
      </c>
      <c r="BY67" s="276">
        <f t="shared" ref="BY67:CE67" si="71">SUM(BY30:BY36)-BY37</f>
        <v>0</v>
      </c>
      <c r="BZ67" s="276">
        <f t="shared" si="71"/>
        <v>0</v>
      </c>
      <c r="CA67" s="276">
        <f t="shared" si="71"/>
        <v>0</v>
      </c>
      <c r="CB67" s="276">
        <f t="shared" si="71"/>
        <v>0</v>
      </c>
      <c r="CC67" s="276">
        <f t="shared" si="71"/>
        <v>0</v>
      </c>
      <c r="CD67" s="276">
        <f t="shared" si="71"/>
        <v>0</v>
      </c>
      <c r="CE67" s="276">
        <f t="shared" si="71"/>
        <v>0</v>
      </c>
      <c r="CG67" s="276">
        <f t="shared" ref="CG67:CM67" si="72">SUM(CG30:CG36)-CG37</f>
        <v>0</v>
      </c>
      <c r="CH67" s="276">
        <f t="shared" si="72"/>
        <v>0</v>
      </c>
      <c r="CI67" s="276">
        <f t="shared" si="72"/>
        <v>0</v>
      </c>
      <c r="CJ67" s="276">
        <f t="shared" si="72"/>
        <v>0</v>
      </c>
      <c r="CK67" s="276">
        <f t="shared" si="72"/>
        <v>0</v>
      </c>
      <c r="CL67" s="276">
        <f t="shared" si="72"/>
        <v>0</v>
      </c>
      <c r="CM67" s="276">
        <f t="shared" si="72"/>
        <v>0</v>
      </c>
      <c r="CO67" s="276">
        <f t="shared" ref="CO67:CU67" si="73">SUM(CO30:CO36)-CO37</f>
        <v>0</v>
      </c>
      <c r="CP67" s="276">
        <f t="shared" si="73"/>
        <v>0</v>
      </c>
      <c r="CQ67" s="276">
        <f t="shared" si="73"/>
        <v>0</v>
      </c>
      <c r="CR67" s="276">
        <f t="shared" si="73"/>
        <v>0</v>
      </c>
      <c r="CS67" s="276">
        <f t="shared" si="73"/>
        <v>0</v>
      </c>
      <c r="CT67" s="276">
        <f t="shared" si="73"/>
        <v>0</v>
      </c>
      <c r="CU67" s="276">
        <f t="shared" si="73"/>
        <v>0</v>
      </c>
      <c r="CW67" s="276">
        <f t="shared" ref="CW67:DC67" si="74">SUM(CW30:CW36)-CW37</f>
        <v>0</v>
      </c>
      <c r="CX67" s="276">
        <f t="shared" si="74"/>
        <v>0</v>
      </c>
      <c r="CY67" s="276">
        <f t="shared" si="74"/>
        <v>0</v>
      </c>
      <c r="CZ67" s="276">
        <f t="shared" si="74"/>
        <v>0</v>
      </c>
      <c r="DA67" s="276">
        <f t="shared" si="74"/>
        <v>0</v>
      </c>
      <c r="DB67" s="276">
        <f t="shared" si="74"/>
        <v>0</v>
      </c>
      <c r="DC67" s="276">
        <f t="shared" si="74"/>
        <v>0</v>
      </c>
      <c r="DE67" s="276">
        <f t="shared" ref="DE67:DK67" si="75">SUM(DE30:DE36)-DE37</f>
        <v>0</v>
      </c>
      <c r="DF67" s="276">
        <f t="shared" si="75"/>
        <v>0</v>
      </c>
      <c r="DG67" s="276">
        <f t="shared" si="75"/>
        <v>0</v>
      </c>
      <c r="DH67" s="276">
        <f t="shared" si="75"/>
        <v>0</v>
      </c>
      <c r="DI67" s="276">
        <f t="shared" si="75"/>
        <v>0</v>
      </c>
      <c r="DJ67" s="276">
        <f t="shared" si="75"/>
        <v>0</v>
      </c>
      <c r="DK67" s="276">
        <f t="shared" si="75"/>
        <v>0</v>
      </c>
      <c r="DM67" s="276">
        <f t="shared" ref="DM67:DS67" si="76">SUM(DM30:DM36)-DM37</f>
        <v>0</v>
      </c>
      <c r="DN67" s="276">
        <f t="shared" si="76"/>
        <v>0</v>
      </c>
      <c r="DO67" s="276">
        <f t="shared" si="76"/>
        <v>0</v>
      </c>
      <c r="DP67" s="276">
        <f t="shared" si="76"/>
        <v>0</v>
      </c>
      <c r="DQ67" s="276">
        <f t="shared" si="76"/>
        <v>0</v>
      </c>
      <c r="DR67" s="276">
        <f t="shared" si="76"/>
        <v>0</v>
      </c>
      <c r="DS67" s="276">
        <f t="shared" si="76"/>
        <v>0</v>
      </c>
    </row>
    <row r="68" spans="1:123" s="95" customFormat="1" hidden="1" outlineLevel="1" x14ac:dyDescent="0.25">
      <c r="A68" s="4"/>
      <c r="B68" s="277" t="s">
        <v>147</v>
      </c>
      <c r="E68" s="276">
        <f t="shared" ref="E68:K68" si="77">SUM(E37:E44)-E45</f>
        <v>0</v>
      </c>
      <c r="F68" s="276">
        <f t="shared" si="77"/>
        <v>0</v>
      </c>
      <c r="G68" s="276">
        <f t="shared" si="77"/>
        <v>0</v>
      </c>
      <c r="H68" s="276">
        <f t="shared" si="77"/>
        <v>0</v>
      </c>
      <c r="I68" s="276">
        <f t="shared" si="77"/>
        <v>0</v>
      </c>
      <c r="J68" s="276">
        <f t="shared" si="77"/>
        <v>0</v>
      </c>
      <c r="K68" s="276">
        <f t="shared" si="77"/>
        <v>0</v>
      </c>
      <c r="M68" s="276">
        <f t="shared" ref="M68:S68" si="78">SUM(M37:M44)-M45</f>
        <v>0</v>
      </c>
      <c r="N68" s="276">
        <f t="shared" si="78"/>
        <v>0</v>
      </c>
      <c r="O68" s="276">
        <f t="shared" si="78"/>
        <v>0</v>
      </c>
      <c r="P68" s="276">
        <f t="shared" si="78"/>
        <v>0</v>
      </c>
      <c r="Q68" s="276">
        <f t="shared" si="78"/>
        <v>0</v>
      </c>
      <c r="R68" s="276">
        <f t="shared" si="78"/>
        <v>0</v>
      </c>
      <c r="S68" s="276">
        <f t="shared" si="78"/>
        <v>0</v>
      </c>
      <c r="U68" s="276">
        <f t="shared" ref="U68:AA68" si="79">SUM(U37:U44)-U45</f>
        <v>0</v>
      </c>
      <c r="V68" s="276">
        <f t="shared" si="79"/>
        <v>0</v>
      </c>
      <c r="W68" s="276">
        <f t="shared" si="79"/>
        <v>0</v>
      </c>
      <c r="X68" s="276">
        <f t="shared" si="79"/>
        <v>0</v>
      </c>
      <c r="Y68" s="276">
        <f t="shared" si="79"/>
        <v>0</v>
      </c>
      <c r="Z68" s="276">
        <f t="shared" si="79"/>
        <v>0</v>
      </c>
      <c r="AA68" s="276">
        <f t="shared" si="79"/>
        <v>0</v>
      </c>
      <c r="AC68" s="276">
        <f t="shared" ref="AC68:AI68" si="80">SUM(AC37:AC44)-AC45</f>
        <v>0</v>
      </c>
      <c r="AD68" s="276">
        <f t="shared" si="80"/>
        <v>0</v>
      </c>
      <c r="AE68" s="276">
        <f t="shared" si="80"/>
        <v>0</v>
      </c>
      <c r="AF68" s="276">
        <f t="shared" si="80"/>
        <v>0</v>
      </c>
      <c r="AG68" s="276">
        <f t="shared" si="80"/>
        <v>0</v>
      </c>
      <c r="AH68" s="276">
        <f t="shared" si="80"/>
        <v>0</v>
      </c>
      <c r="AI68" s="276">
        <f t="shared" si="80"/>
        <v>0</v>
      </c>
      <c r="AK68" s="276">
        <f t="shared" ref="AK68:AQ68" si="81">SUM(AK37:AK44)-AK45</f>
        <v>0</v>
      </c>
      <c r="AL68" s="276">
        <f t="shared" si="81"/>
        <v>0</v>
      </c>
      <c r="AM68" s="276">
        <f t="shared" si="81"/>
        <v>0</v>
      </c>
      <c r="AN68" s="276">
        <f t="shared" si="81"/>
        <v>0</v>
      </c>
      <c r="AO68" s="276">
        <f t="shared" si="81"/>
        <v>0</v>
      </c>
      <c r="AP68" s="276">
        <f t="shared" si="81"/>
        <v>0</v>
      </c>
      <c r="AQ68" s="276">
        <f t="shared" si="81"/>
        <v>0</v>
      </c>
      <c r="AS68" s="276">
        <f t="shared" ref="AS68:AY68" si="82">SUM(AS37:AS44)-AS45</f>
        <v>0</v>
      </c>
      <c r="AT68" s="276">
        <f t="shared" si="82"/>
        <v>0</v>
      </c>
      <c r="AU68" s="276">
        <f t="shared" si="82"/>
        <v>0</v>
      </c>
      <c r="AV68" s="276">
        <f t="shared" si="82"/>
        <v>0</v>
      </c>
      <c r="AW68" s="276">
        <f t="shared" si="82"/>
        <v>0</v>
      </c>
      <c r="AX68" s="276">
        <f t="shared" si="82"/>
        <v>0</v>
      </c>
      <c r="AY68" s="276">
        <f t="shared" si="82"/>
        <v>0</v>
      </c>
      <c r="BA68" s="276">
        <f t="shared" ref="BA68:BG68" si="83">SUM(BA37:BA44)-BA45</f>
        <v>0</v>
      </c>
      <c r="BB68" s="276">
        <f t="shared" si="83"/>
        <v>0</v>
      </c>
      <c r="BC68" s="276">
        <f t="shared" si="83"/>
        <v>0</v>
      </c>
      <c r="BD68" s="276">
        <f t="shared" si="83"/>
        <v>0</v>
      </c>
      <c r="BE68" s="276">
        <f t="shared" si="83"/>
        <v>0</v>
      </c>
      <c r="BF68" s="276">
        <f t="shared" si="83"/>
        <v>0</v>
      </c>
      <c r="BG68" s="276">
        <f t="shared" si="83"/>
        <v>0</v>
      </c>
      <c r="BI68" s="276">
        <f t="shared" ref="BI68:BO68" si="84">SUM(BI37:BI44)-BI45</f>
        <v>0</v>
      </c>
      <c r="BJ68" s="276">
        <f t="shared" si="84"/>
        <v>0</v>
      </c>
      <c r="BK68" s="276">
        <f t="shared" si="84"/>
        <v>0</v>
      </c>
      <c r="BL68" s="276">
        <f t="shared" si="84"/>
        <v>0</v>
      </c>
      <c r="BM68" s="276">
        <f t="shared" si="84"/>
        <v>0</v>
      </c>
      <c r="BN68" s="276">
        <f t="shared" si="84"/>
        <v>0</v>
      </c>
      <c r="BO68" s="276">
        <f t="shared" si="84"/>
        <v>0</v>
      </c>
      <c r="BQ68" s="276">
        <f t="shared" ref="BQ68:BW68" si="85">SUM(BQ37:BQ44)-BQ45</f>
        <v>0</v>
      </c>
      <c r="BR68" s="276">
        <f t="shared" si="85"/>
        <v>0</v>
      </c>
      <c r="BS68" s="276">
        <f t="shared" si="85"/>
        <v>0</v>
      </c>
      <c r="BT68" s="276">
        <f t="shared" si="85"/>
        <v>0</v>
      </c>
      <c r="BU68" s="276">
        <f t="shared" si="85"/>
        <v>0</v>
      </c>
      <c r="BV68" s="276">
        <f t="shared" si="85"/>
        <v>0</v>
      </c>
      <c r="BW68" s="276">
        <f t="shared" si="85"/>
        <v>0</v>
      </c>
      <c r="BY68" s="276">
        <f t="shared" ref="BY68:CE68" si="86">SUM(BY37:BY44)-BY45</f>
        <v>0</v>
      </c>
      <c r="BZ68" s="276">
        <f t="shared" si="86"/>
        <v>0</v>
      </c>
      <c r="CA68" s="276">
        <f t="shared" si="86"/>
        <v>0</v>
      </c>
      <c r="CB68" s="276">
        <f t="shared" si="86"/>
        <v>0</v>
      </c>
      <c r="CC68" s="276">
        <f t="shared" si="86"/>
        <v>0</v>
      </c>
      <c r="CD68" s="276">
        <f t="shared" si="86"/>
        <v>0</v>
      </c>
      <c r="CE68" s="276">
        <f t="shared" si="86"/>
        <v>0</v>
      </c>
      <c r="CG68" s="276">
        <f t="shared" ref="CG68:CM68" si="87">SUM(CG37:CG44)-CG45</f>
        <v>0</v>
      </c>
      <c r="CH68" s="276">
        <f t="shared" si="87"/>
        <v>0</v>
      </c>
      <c r="CI68" s="276">
        <f t="shared" si="87"/>
        <v>0</v>
      </c>
      <c r="CJ68" s="276">
        <f t="shared" si="87"/>
        <v>0</v>
      </c>
      <c r="CK68" s="276">
        <f t="shared" si="87"/>
        <v>0</v>
      </c>
      <c r="CL68" s="276">
        <f t="shared" si="87"/>
        <v>0</v>
      </c>
      <c r="CM68" s="276">
        <f t="shared" si="87"/>
        <v>0</v>
      </c>
      <c r="CO68" s="276">
        <f t="shared" ref="CO68:CU68" si="88">SUM(CO37:CO44)-CO45</f>
        <v>0</v>
      </c>
      <c r="CP68" s="276">
        <f t="shared" si="88"/>
        <v>0</v>
      </c>
      <c r="CQ68" s="276">
        <f t="shared" si="88"/>
        <v>0</v>
      </c>
      <c r="CR68" s="276">
        <f t="shared" si="88"/>
        <v>0</v>
      </c>
      <c r="CS68" s="276">
        <f t="shared" si="88"/>
        <v>0</v>
      </c>
      <c r="CT68" s="276">
        <f t="shared" si="88"/>
        <v>0</v>
      </c>
      <c r="CU68" s="276">
        <f t="shared" si="88"/>
        <v>0</v>
      </c>
      <c r="CW68" s="276">
        <f t="shared" ref="CW68:DC68" si="89">SUM(CW37:CW44)-CW45</f>
        <v>0</v>
      </c>
      <c r="CX68" s="276">
        <f t="shared" si="89"/>
        <v>0</v>
      </c>
      <c r="CY68" s="276">
        <f t="shared" si="89"/>
        <v>0</v>
      </c>
      <c r="CZ68" s="276">
        <f t="shared" si="89"/>
        <v>0</v>
      </c>
      <c r="DA68" s="276">
        <f t="shared" si="89"/>
        <v>0</v>
      </c>
      <c r="DB68" s="276">
        <f t="shared" si="89"/>
        <v>0</v>
      </c>
      <c r="DC68" s="276">
        <f t="shared" si="89"/>
        <v>0</v>
      </c>
      <c r="DE68" s="276">
        <f t="shared" ref="DE68:DK68" si="90">SUM(DE37:DE44)-DE45</f>
        <v>0</v>
      </c>
      <c r="DF68" s="276">
        <f t="shared" si="90"/>
        <v>0</v>
      </c>
      <c r="DG68" s="276">
        <f t="shared" si="90"/>
        <v>0</v>
      </c>
      <c r="DH68" s="276">
        <f t="shared" si="90"/>
        <v>0</v>
      </c>
      <c r="DI68" s="276">
        <f t="shared" si="90"/>
        <v>0</v>
      </c>
      <c r="DJ68" s="276">
        <f t="shared" si="90"/>
        <v>0</v>
      </c>
      <c r="DK68" s="276">
        <f t="shared" si="90"/>
        <v>0</v>
      </c>
      <c r="DM68" s="276">
        <f t="shared" ref="DM68:DS68" si="91">SUM(DM37:DM44)-DM45</f>
        <v>0</v>
      </c>
      <c r="DN68" s="276">
        <f t="shared" si="91"/>
        <v>0</v>
      </c>
      <c r="DO68" s="276">
        <f t="shared" si="91"/>
        <v>0</v>
      </c>
      <c r="DP68" s="276">
        <f t="shared" si="91"/>
        <v>0</v>
      </c>
      <c r="DQ68" s="276">
        <f t="shared" si="91"/>
        <v>0</v>
      </c>
      <c r="DR68" s="276">
        <f t="shared" si="91"/>
        <v>0</v>
      </c>
      <c r="DS68" s="276">
        <f t="shared" si="91"/>
        <v>0</v>
      </c>
    </row>
    <row r="69" spans="1:123" s="95" customFormat="1" hidden="1" outlineLevel="1" x14ac:dyDescent="0.25">
      <c r="A69" s="4"/>
      <c r="B69" s="277" t="s">
        <v>39</v>
      </c>
      <c r="E69" s="276">
        <f t="shared" ref="E69:K69" si="92">SUM(E50:E51)-E52</f>
        <v>0</v>
      </c>
      <c r="F69" s="276">
        <f t="shared" si="92"/>
        <v>0</v>
      </c>
      <c r="G69" s="276">
        <f t="shared" si="92"/>
        <v>0</v>
      </c>
      <c r="H69" s="276">
        <f t="shared" si="92"/>
        <v>0</v>
      </c>
      <c r="I69" s="276">
        <f t="shared" si="92"/>
        <v>0</v>
      </c>
      <c r="J69" s="276">
        <f t="shared" si="92"/>
        <v>0</v>
      </c>
      <c r="K69" s="276">
        <f t="shared" si="92"/>
        <v>0</v>
      </c>
      <c r="M69" s="276">
        <f t="shared" ref="M69:S69" si="93">SUM(M50:M51)-M52</f>
        <v>0</v>
      </c>
      <c r="N69" s="276">
        <f t="shared" si="93"/>
        <v>0</v>
      </c>
      <c r="O69" s="276">
        <f t="shared" si="93"/>
        <v>0</v>
      </c>
      <c r="P69" s="276">
        <f t="shared" si="93"/>
        <v>0</v>
      </c>
      <c r="Q69" s="276">
        <f t="shared" si="93"/>
        <v>0</v>
      </c>
      <c r="R69" s="276">
        <f t="shared" si="93"/>
        <v>0</v>
      </c>
      <c r="S69" s="276">
        <f t="shared" si="93"/>
        <v>0</v>
      </c>
      <c r="U69" s="276">
        <f t="shared" ref="U69:V69" si="94">SUM(U50:U51)-U52</f>
        <v>0</v>
      </c>
      <c r="V69" s="276">
        <f t="shared" si="94"/>
        <v>0</v>
      </c>
      <c r="W69" s="276">
        <f t="shared" ref="W69:X69" si="95">SUM(W50:W51)-W52</f>
        <v>0</v>
      </c>
      <c r="X69" s="276">
        <f t="shared" si="95"/>
        <v>0</v>
      </c>
      <c r="Y69" s="276">
        <f t="shared" ref="Y69" si="96">SUM(Y50:Y51)-Y52</f>
        <v>0</v>
      </c>
      <c r="Z69" s="276">
        <f t="shared" ref="Z69:AA69" si="97">SUM(Z50:Z51)-Z52</f>
        <v>0</v>
      </c>
      <c r="AA69" s="276">
        <f t="shared" si="97"/>
        <v>0</v>
      </c>
      <c r="AC69" s="276">
        <f t="shared" ref="AC69:AI69" si="98">SUM(AC50:AC51)-AC52</f>
        <v>0</v>
      </c>
      <c r="AD69" s="276">
        <f t="shared" si="98"/>
        <v>0</v>
      </c>
      <c r="AE69" s="276">
        <f t="shared" si="98"/>
        <v>0</v>
      </c>
      <c r="AF69" s="276">
        <f t="shared" si="98"/>
        <v>0</v>
      </c>
      <c r="AG69" s="276">
        <f t="shared" si="98"/>
        <v>0</v>
      </c>
      <c r="AH69" s="276">
        <f t="shared" si="98"/>
        <v>0</v>
      </c>
      <c r="AI69" s="276">
        <f t="shared" si="98"/>
        <v>0</v>
      </c>
      <c r="AK69" s="276">
        <f t="shared" ref="AK69:AQ69" si="99">SUM(AK50:AK51)-AK52</f>
        <v>0</v>
      </c>
      <c r="AL69" s="276">
        <f t="shared" si="99"/>
        <v>0</v>
      </c>
      <c r="AM69" s="276">
        <f t="shared" si="99"/>
        <v>0</v>
      </c>
      <c r="AN69" s="276">
        <f t="shared" si="99"/>
        <v>0</v>
      </c>
      <c r="AO69" s="276">
        <f t="shared" si="99"/>
        <v>0</v>
      </c>
      <c r="AP69" s="276">
        <f t="shared" si="99"/>
        <v>0</v>
      </c>
      <c r="AQ69" s="276">
        <f t="shared" si="99"/>
        <v>0</v>
      </c>
      <c r="AS69" s="276">
        <f t="shared" ref="AS69:AY69" si="100">SUM(AS50:AS51)-AS52</f>
        <v>0</v>
      </c>
      <c r="AT69" s="276">
        <f t="shared" si="100"/>
        <v>0</v>
      </c>
      <c r="AU69" s="276">
        <f t="shared" si="100"/>
        <v>0</v>
      </c>
      <c r="AV69" s="276">
        <f t="shared" si="100"/>
        <v>0</v>
      </c>
      <c r="AW69" s="276">
        <f t="shared" si="100"/>
        <v>0</v>
      </c>
      <c r="AX69" s="276">
        <f t="shared" si="100"/>
        <v>0</v>
      </c>
      <c r="AY69" s="276">
        <f t="shared" si="100"/>
        <v>0</v>
      </c>
      <c r="BA69" s="276">
        <f t="shared" ref="BA69:BG69" si="101">SUM(BA50:BA51)-BA52</f>
        <v>0</v>
      </c>
      <c r="BB69" s="276">
        <f t="shared" si="101"/>
        <v>0</v>
      </c>
      <c r="BC69" s="276">
        <f t="shared" si="101"/>
        <v>0</v>
      </c>
      <c r="BD69" s="276">
        <f t="shared" si="101"/>
        <v>0</v>
      </c>
      <c r="BE69" s="276">
        <f t="shared" si="101"/>
        <v>0</v>
      </c>
      <c r="BF69" s="276">
        <f t="shared" si="101"/>
        <v>0</v>
      </c>
      <c r="BG69" s="276">
        <f t="shared" si="101"/>
        <v>0</v>
      </c>
      <c r="BI69" s="276">
        <f t="shared" ref="BI69:BO69" si="102">SUM(BI50:BI51)-BI52</f>
        <v>0</v>
      </c>
      <c r="BJ69" s="276">
        <f t="shared" si="102"/>
        <v>0</v>
      </c>
      <c r="BK69" s="276">
        <f t="shared" si="102"/>
        <v>0</v>
      </c>
      <c r="BL69" s="276">
        <f t="shared" si="102"/>
        <v>0</v>
      </c>
      <c r="BM69" s="276">
        <f t="shared" si="102"/>
        <v>0</v>
      </c>
      <c r="BN69" s="276">
        <f t="shared" si="102"/>
        <v>0</v>
      </c>
      <c r="BO69" s="276">
        <f t="shared" si="102"/>
        <v>0</v>
      </c>
      <c r="BQ69" s="276">
        <f t="shared" ref="BQ69:BW69" si="103">SUM(BQ50:BQ51)-BQ52</f>
        <v>0</v>
      </c>
      <c r="BR69" s="276">
        <f t="shared" si="103"/>
        <v>0</v>
      </c>
      <c r="BS69" s="276">
        <f t="shared" si="103"/>
        <v>0</v>
      </c>
      <c r="BT69" s="276">
        <f t="shared" si="103"/>
        <v>0</v>
      </c>
      <c r="BU69" s="276">
        <f t="shared" si="103"/>
        <v>0</v>
      </c>
      <c r="BV69" s="276">
        <f t="shared" si="103"/>
        <v>0</v>
      </c>
      <c r="BW69" s="276">
        <f t="shared" si="103"/>
        <v>0</v>
      </c>
      <c r="BY69" s="276">
        <f t="shared" ref="BY69:CE69" si="104">SUM(BY50:BY51)-BY52</f>
        <v>0</v>
      </c>
      <c r="BZ69" s="276">
        <f t="shared" si="104"/>
        <v>0</v>
      </c>
      <c r="CA69" s="276">
        <f t="shared" si="104"/>
        <v>0</v>
      </c>
      <c r="CB69" s="276">
        <f t="shared" si="104"/>
        <v>0</v>
      </c>
      <c r="CC69" s="276">
        <f t="shared" si="104"/>
        <v>0</v>
      </c>
      <c r="CD69" s="276">
        <f t="shared" si="104"/>
        <v>0</v>
      </c>
      <c r="CE69" s="276">
        <f t="shared" si="104"/>
        <v>0</v>
      </c>
      <c r="CG69" s="276">
        <f t="shared" ref="CG69:CM69" si="105">SUM(CG50:CG51)-CG52</f>
        <v>0</v>
      </c>
      <c r="CH69" s="276">
        <f t="shared" si="105"/>
        <v>0</v>
      </c>
      <c r="CI69" s="276">
        <f t="shared" si="105"/>
        <v>0</v>
      </c>
      <c r="CJ69" s="276">
        <f t="shared" si="105"/>
        <v>0</v>
      </c>
      <c r="CK69" s="276">
        <f t="shared" si="105"/>
        <v>0</v>
      </c>
      <c r="CL69" s="276">
        <f t="shared" si="105"/>
        <v>0</v>
      </c>
      <c r="CM69" s="276">
        <f t="shared" si="105"/>
        <v>0</v>
      </c>
      <c r="CO69" s="276">
        <f t="shared" ref="CO69:CU69" si="106">SUM(CO50:CO51)-CO52</f>
        <v>0</v>
      </c>
      <c r="CP69" s="276">
        <f t="shared" si="106"/>
        <v>0</v>
      </c>
      <c r="CQ69" s="276">
        <f t="shared" si="106"/>
        <v>0</v>
      </c>
      <c r="CR69" s="276">
        <f t="shared" si="106"/>
        <v>0</v>
      </c>
      <c r="CS69" s="276">
        <f t="shared" si="106"/>
        <v>0</v>
      </c>
      <c r="CT69" s="276">
        <f t="shared" si="106"/>
        <v>0</v>
      </c>
      <c r="CU69" s="276">
        <f t="shared" si="106"/>
        <v>0</v>
      </c>
      <c r="CW69" s="276">
        <f t="shared" ref="CW69:DC69" si="107">SUM(CW50:CW51)-CW52</f>
        <v>0</v>
      </c>
      <c r="CX69" s="276">
        <f t="shared" si="107"/>
        <v>0</v>
      </c>
      <c r="CY69" s="276">
        <f t="shared" si="107"/>
        <v>0</v>
      </c>
      <c r="CZ69" s="276">
        <f t="shared" si="107"/>
        <v>0</v>
      </c>
      <c r="DA69" s="276">
        <f t="shared" si="107"/>
        <v>0</v>
      </c>
      <c r="DB69" s="276">
        <f t="shared" si="107"/>
        <v>0</v>
      </c>
      <c r="DC69" s="276">
        <f t="shared" si="107"/>
        <v>0</v>
      </c>
      <c r="DE69" s="276">
        <f t="shared" ref="DE69:DK69" si="108">SUM(DE50:DE51)-DE52</f>
        <v>0</v>
      </c>
      <c r="DF69" s="276">
        <f t="shared" si="108"/>
        <v>0</v>
      </c>
      <c r="DG69" s="276">
        <f t="shared" si="108"/>
        <v>0</v>
      </c>
      <c r="DH69" s="276">
        <f t="shared" si="108"/>
        <v>0</v>
      </c>
      <c r="DI69" s="276">
        <f t="shared" si="108"/>
        <v>0</v>
      </c>
      <c r="DJ69" s="276">
        <f t="shared" si="108"/>
        <v>0</v>
      </c>
      <c r="DK69" s="276">
        <f t="shared" si="108"/>
        <v>0</v>
      </c>
      <c r="DM69" s="276">
        <f t="shared" ref="DM69:DS69" si="109">SUM(DM50:DM51)-DM52</f>
        <v>0</v>
      </c>
      <c r="DN69" s="276">
        <f t="shared" si="109"/>
        <v>0</v>
      </c>
      <c r="DO69" s="276">
        <f t="shared" si="109"/>
        <v>0</v>
      </c>
      <c r="DP69" s="276">
        <f t="shared" si="109"/>
        <v>0</v>
      </c>
      <c r="DQ69" s="276">
        <f t="shared" si="109"/>
        <v>0</v>
      </c>
      <c r="DR69" s="276">
        <f t="shared" si="109"/>
        <v>0</v>
      </c>
      <c r="DS69" s="276">
        <f t="shared" si="109"/>
        <v>0</v>
      </c>
    </row>
    <row r="70" spans="1:123" s="95" customFormat="1" hidden="1" outlineLevel="1" x14ac:dyDescent="0.25">
      <c r="A70" s="4"/>
      <c r="B70" s="277" t="s">
        <v>40</v>
      </c>
      <c r="E70" s="276">
        <f t="shared" ref="E70:K70" si="110">E48-E52-E54</f>
        <v>0</v>
      </c>
      <c r="F70" s="276">
        <f t="shared" si="110"/>
        <v>0</v>
      </c>
      <c r="G70" s="276">
        <f t="shared" si="110"/>
        <v>0</v>
      </c>
      <c r="H70" s="276">
        <f t="shared" si="110"/>
        <v>0</v>
      </c>
      <c r="I70" s="276">
        <f t="shared" si="110"/>
        <v>0</v>
      </c>
      <c r="J70" s="276">
        <f t="shared" si="110"/>
        <v>0</v>
      </c>
      <c r="K70" s="276">
        <f t="shared" si="110"/>
        <v>0</v>
      </c>
      <c r="M70" s="276">
        <f t="shared" ref="M70:S70" si="111">M48-M52-M54</f>
        <v>0</v>
      </c>
      <c r="N70" s="276">
        <f t="shared" si="111"/>
        <v>0</v>
      </c>
      <c r="O70" s="276">
        <f t="shared" si="111"/>
        <v>0</v>
      </c>
      <c r="P70" s="276">
        <f t="shared" si="111"/>
        <v>0</v>
      </c>
      <c r="Q70" s="276">
        <f t="shared" si="111"/>
        <v>6.304202091996558E-3</v>
      </c>
      <c r="R70" s="276">
        <f t="shared" si="111"/>
        <v>0</v>
      </c>
      <c r="S70" s="276">
        <f t="shared" si="111"/>
        <v>3.0420209805015475E-4</v>
      </c>
      <c r="U70" s="276">
        <f t="shared" ref="U70:V70" si="112">U48-U52-U54</f>
        <v>0</v>
      </c>
      <c r="V70" s="276">
        <f t="shared" si="112"/>
        <v>0.15900000001420267</v>
      </c>
      <c r="W70" s="276">
        <f t="shared" ref="W70:X70" si="113">W48-W52-W54</f>
        <v>0</v>
      </c>
      <c r="X70" s="276">
        <f t="shared" si="113"/>
        <v>0</v>
      </c>
      <c r="Y70" s="276">
        <f t="shared" ref="Y70" si="114">Y48-Y52-Y54</f>
        <v>0</v>
      </c>
      <c r="Z70" s="276">
        <f t="shared" ref="Z70:AA70" si="115">Z48-Z52-Z54</f>
        <v>0</v>
      </c>
      <c r="AA70" s="276">
        <f t="shared" si="115"/>
        <v>0</v>
      </c>
      <c r="AC70" s="276">
        <f t="shared" ref="AC70:AI70" si="116">AC48-AC52-AC54</f>
        <v>0</v>
      </c>
      <c r="AD70" s="276">
        <f t="shared" si="116"/>
        <v>0</v>
      </c>
      <c r="AE70" s="276">
        <f t="shared" si="116"/>
        <v>0</v>
      </c>
      <c r="AF70" s="276">
        <f t="shared" si="116"/>
        <v>0</v>
      </c>
      <c r="AG70" s="276">
        <f t="shared" si="116"/>
        <v>0</v>
      </c>
      <c r="AH70" s="276">
        <f t="shared" si="116"/>
        <v>0</v>
      </c>
      <c r="AI70" s="276">
        <f t="shared" si="116"/>
        <v>0</v>
      </c>
      <c r="AK70" s="276">
        <f t="shared" ref="AK70:AQ70" si="117">AK48-AK52-AK54</f>
        <v>0</v>
      </c>
      <c r="AL70" s="276">
        <f t="shared" si="117"/>
        <v>0</v>
      </c>
      <c r="AM70" s="276">
        <f t="shared" si="117"/>
        <v>0</v>
      </c>
      <c r="AN70" s="276">
        <f t="shared" si="117"/>
        <v>0</v>
      </c>
      <c r="AO70" s="276">
        <f t="shared" si="117"/>
        <v>0</v>
      </c>
      <c r="AP70" s="276">
        <f t="shared" si="117"/>
        <v>0</v>
      </c>
      <c r="AQ70" s="276">
        <f t="shared" si="117"/>
        <v>0</v>
      </c>
      <c r="AS70" s="276">
        <f t="shared" ref="AS70:AY70" si="118">AS48-AS52-AS54</f>
        <v>0</v>
      </c>
      <c r="AT70" s="276">
        <f t="shared" si="118"/>
        <v>0</v>
      </c>
      <c r="AU70" s="276">
        <f t="shared" si="118"/>
        <v>0</v>
      </c>
      <c r="AV70" s="276">
        <f t="shared" si="118"/>
        <v>0</v>
      </c>
      <c r="AW70" s="276">
        <f t="shared" si="118"/>
        <v>0</v>
      </c>
      <c r="AX70" s="276">
        <f t="shared" si="118"/>
        <v>0</v>
      </c>
      <c r="AY70" s="276">
        <f t="shared" si="118"/>
        <v>0</v>
      </c>
      <c r="BA70" s="276">
        <f t="shared" ref="BA70:BG70" si="119">BA48-BA52-BA54</f>
        <v>0</v>
      </c>
      <c r="BB70" s="276">
        <f t="shared" si="119"/>
        <v>0</v>
      </c>
      <c r="BC70" s="276">
        <f t="shared" si="119"/>
        <v>0</v>
      </c>
      <c r="BD70" s="276">
        <f t="shared" si="119"/>
        <v>0</v>
      </c>
      <c r="BE70" s="276">
        <f t="shared" si="119"/>
        <v>0</v>
      </c>
      <c r="BF70" s="276">
        <f t="shared" si="119"/>
        <v>0</v>
      </c>
      <c r="BG70" s="276">
        <f t="shared" si="119"/>
        <v>0</v>
      </c>
      <c r="BI70" s="276">
        <f t="shared" ref="BI70:BO70" si="120">BI48-BI52-BI54</f>
        <v>0</v>
      </c>
      <c r="BJ70" s="276">
        <f t="shared" si="120"/>
        <v>0</v>
      </c>
      <c r="BK70" s="276">
        <f t="shared" si="120"/>
        <v>0</v>
      </c>
      <c r="BL70" s="276">
        <f t="shared" si="120"/>
        <v>0</v>
      </c>
      <c r="BM70" s="276">
        <f t="shared" si="120"/>
        <v>0</v>
      </c>
      <c r="BN70" s="276">
        <f t="shared" si="120"/>
        <v>0</v>
      </c>
      <c r="BO70" s="276">
        <f t="shared" si="120"/>
        <v>0</v>
      </c>
      <c r="BQ70" s="276">
        <f t="shared" ref="BQ70:BW70" si="121">BQ48-BQ52-BQ54</f>
        <v>0</v>
      </c>
      <c r="BR70" s="276">
        <f t="shared" si="121"/>
        <v>0</v>
      </c>
      <c r="BS70" s="276">
        <f t="shared" si="121"/>
        <v>0</v>
      </c>
      <c r="BT70" s="276">
        <f t="shared" si="121"/>
        <v>0</v>
      </c>
      <c r="BU70" s="276">
        <f t="shared" si="121"/>
        <v>0</v>
      </c>
      <c r="BV70" s="276">
        <f t="shared" si="121"/>
        <v>0</v>
      </c>
      <c r="BW70" s="276">
        <f t="shared" si="121"/>
        <v>0</v>
      </c>
      <c r="BY70" s="276">
        <f t="shared" ref="BY70:CE70" si="122">BY48-BY52-BY54</f>
        <v>0</v>
      </c>
      <c r="BZ70" s="276">
        <f t="shared" si="122"/>
        <v>0</v>
      </c>
      <c r="CA70" s="276">
        <f t="shared" si="122"/>
        <v>0</v>
      </c>
      <c r="CB70" s="276">
        <f t="shared" si="122"/>
        <v>0</v>
      </c>
      <c r="CC70" s="276">
        <f t="shared" si="122"/>
        <v>0</v>
      </c>
      <c r="CD70" s="276">
        <f t="shared" si="122"/>
        <v>0</v>
      </c>
      <c r="CE70" s="276">
        <f t="shared" si="122"/>
        <v>0</v>
      </c>
      <c r="CG70" s="276">
        <f t="shared" ref="CG70:CM70" si="123">CG48-CG52-CG54</f>
        <v>0</v>
      </c>
      <c r="CH70" s="276">
        <f t="shared" si="123"/>
        <v>0</v>
      </c>
      <c r="CI70" s="276">
        <f t="shared" si="123"/>
        <v>0</v>
      </c>
      <c r="CJ70" s="276">
        <f t="shared" si="123"/>
        <v>0</v>
      </c>
      <c r="CK70" s="276">
        <f t="shared" si="123"/>
        <v>0</v>
      </c>
      <c r="CL70" s="276">
        <f t="shared" si="123"/>
        <v>0</v>
      </c>
      <c r="CM70" s="276">
        <f t="shared" si="123"/>
        <v>0</v>
      </c>
      <c r="CO70" s="276">
        <f t="shared" ref="CO70:CU70" si="124">CO48-CO52-CO54</f>
        <v>0</v>
      </c>
      <c r="CP70" s="276">
        <f t="shared" si="124"/>
        <v>0</v>
      </c>
      <c r="CQ70" s="276">
        <f t="shared" si="124"/>
        <v>0</v>
      </c>
      <c r="CR70" s="276">
        <f t="shared" si="124"/>
        <v>0</v>
      </c>
      <c r="CS70" s="276">
        <f t="shared" si="124"/>
        <v>0</v>
      </c>
      <c r="CT70" s="276">
        <f t="shared" si="124"/>
        <v>0</v>
      </c>
      <c r="CU70" s="276">
        <f t="shared" si="124"/>
        <v>0</v>
      </c>
      <c r="CW70" s="276">
        <f t="shared" ref="CW70:DC70" si="125">CW48-CW52-CW54</f>
        <v>0</v>
      </c>
      <c r="CX70" s="276">
        <f t="shared" si="125"/>
        <v>0</v>
      </c>
      <c r="CY70" s="276">
        <f t="shared" si="125"/>
        <v>0</v>
      </c>
      <c r="CZ70" s="276">
        <f t="shared" si="125"/>
        <v>0</v>
      </c>
      <c r="DA70" s="276">
        <f t="shared" si="125"/>
        <v>0</v>
      </c>
      <c r="DB70" s="276">
        <f t="shared" si="125"/>
        <v>0</v>
      </c>
      <c r="DC70" s="276">
        <f t="shared" si="125"/>
        <v>0</v>
      </c>
      <c r="DE70" s="276">
        <f t="shared" ref="DE70:DK70" si="126">DE48-DE52-DE54</f>
        <v>0</v>
      </c>
      <c r="DF70" s="276">
        <f t="shared" si="126"/>
        <v>0</v>
      </c>
      <c r="DG70" s="276">
        <f t="shared" si="126"/>
        <v>0</v>
      </c>
      <c r="DH70" s="276">
        <f t="shared" si="126"/>
        <v>0</v>
      </c>
      <c r="DI70" s="276">
        <f t="shared" si="126"/>
        <v>0</v>
      </c>
      <c r="DJ70" s="276">
        <f t="shared" si="126"/>
        <v>0</v>
      </c>
      <c r="DK70" s="276">
        <f t="shared" si="126"/>
        <v>0</v>
      </c>
      <c r="DM70" s="276">
        <f t="shared" ref="DM70:DS70" si="127">DM48-DM52-DM54</f>
        <v>0</v>
      </c>
      <c r="DN70" s="276">
        <f t="shared" si="127"/>
        <v>0</v>
      </c>
      <c r="DO70" s="276">
        <f t="shared" si="127"/>
        <v>0</v>
      </c>
      <c r="DP70" s="276">
        <f t="shared" si="127"/>
        <v>0</v>
      </c>
      <c r="DQ70" s="276">
        <f t="shared" si="127"/>
        <v>0</v>
      </c>
      <c r="DR70" s="276">
        <f t="shared" si="127"/>
        <v>0</v>
      </c>
      <c r="DS70" s="276">
        <f t="shared" si="127"/>
        <v>0</v>
      </c>
    </row>
    <row r="71" spans="1:123" collapsed="1" x14ac:dyDescent="0.25">
      <c r="A71" s="4" t="s">
        <v>230</v>
      </c>
    </row>
    <row r="72" spans="1:123" x14ac:dyDescent="0.25">
      <c r="A72" s="4" t="s">
        <v>229</v>
      </c>
    </row>
    <row r="73" spans="1:123" x14ac:dyDescent="0.25">
      <c r="A73" s="4" t="s">
        <v>227</v>
      </c>
    </row>
    <row r="74" spans="1:123" x14ac:dyDescent="0.25">
      <c r="A74" s="4" t="s">
        <v>228</v>
      </c>
    </row>
  </sheetData>
  <mergeCells count="15">
    <mergeCell ref="BA15:BG15"/>
    <mergeCell ref="BI15:BO15"/>
    <mergeCell ref="AC15:AI15"/>
    <mergeCell ref="DM15:DS15"/>
    <mergeCell ref="BQ15:BW15"/>
    <mergeCell ref="BY15:CE15"/>
    <mergeCell ref="CG15:CM15"/>
    <mergeCell ref="CO15:CU15"/>
    <mergeCell ref="CW15:DC15"/>
    <mergeCell ref="DE15:DK15"/>
    <mergeCell ref="E15:K15"/>
    <mergeCell ref="M15:S15"/>
    <mergeCell ref="U15:AA15"/>
    <mergeCell ref="AK15:AQ15"/>
    <mergeCell ref="AS15:AY15"/>
  </mergeCells>
  <pageMargins left="0.7" right="0.7" top="0.75" bottom="0.75" header="0.3" footer="0.3"/>
  <pageSetup scale="2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M55"/>
  <sheetViews>
    <sheetView showGridLines="0" zoomScaleNormal="100" workbookViewId="0"/>
  </sheetViews>
  <sheetFormatPr defaultColWidth="9.140625" defaultRowHeight="15" outlineLevelRow="1" outlineLevelCol="1" x14ac:dyDescent="0.25"/>
  <cols>
    <col min="1" max="1" width="58.42578125" style="4" customWidth="1"/>
    <col min="2" max="2" width="11.28515625" style="4" bestFit="1" customWidth="1"/>
    <col min="3" max="3" width="2.7109375" style="4" customWidth="1"/>
    <col min="4" max="4" width="12.5703125" style="4" customWidth="1"/>
    <col min="5" max="5" width="9.5703125" style="4" bestFit="1" customWidth="1"/>
    <col min="6" max="6" width="12.140625" style="4" bestFit="1" customWidth="1"/>
    <col min="7" max="7" width="10.28515625" style="4" bestFit="1" customWidth="1"/>
    <col min="8" max="8" width="12.28515625" style="4" bestFit="1" customWidth="1"/>
    <col min="9" max="9" width="10.28515625" style="4" bestFit="1" customWidth="1"/>
    <col min="10" max="10" width="12.28515625" style="4" bestFit="1" customWidth="1"/>
    <col min="11" max="11" width="2.7109375" style="4" customWidth="1"/>
    <col min="12" max="12" width="11.7109375" style="4" bestFit="1" customWidth="1"/>
    <col min="13" max="14" width="11.7109375" style="4" customWidth="1"/>
    <col min="15" max="15" width="9" style="4" customWidth="1"/>
    <col min="16" max="16" width="11.7109375" style="4" customWidth="1"/>
    <col min="17" max="17" width="10.140625" style="4" customWidth="1"/>
    <col min="18" max="18" width="11.7109375" style="4" customWidth="1"/>
    <col min="19" max="19" width="3.7109375" style="4" customWidth="1"/>
    <col min="20" max="20" width="11.7109375" style="4" bestFit="1" customWidth="1"/>
    <col min="21" max="21" width="11.28515625" style="4" customWidth="1"/>
    <col min="22" max="22" width="11.7109375" style="4" bestFit="1" customWidth="1"/>
    <col min="23" max="23" width="11.28515625" style="4" customWidth="1"/>
    <col min="24" max="24" width="11.7109375" style="4" bestFit="1" customWidth="1"/>
    <col min="25" max="25" width="11.28515625" style="4" customWidth="1"/>
    <col min="26" max="26" width="14.7109375" style="4" customWidth="1"/>
    <col min="27" max="27" width="2.5703125" style="4" customWidth="1"/>
    <col min="28" max="28" width="14.140625" style="4" bestFit="1" customWidth="1"/>
    <col min="29" max="29" width="11.7109375" style="4" bestFit="1" customWidth="1"/>
    <col min="30" max="31" width="11.28515625" style="4" customWidth="1"/>
    <col min="32" max="32" width="11.7109375" style="4" bestFit="1" customWidth="1"/>
    <col min="33" max="33" width="11.28515625" style="4" customWidth="1"/>
    <col min="34" max="34" width="11.7109375" style="4" bestFit="1" customWidth="1"/>
    <col min="35" max="35" width="3.42578125" style="4" customWidth="1"/>
    <col min="36" max="36" width="45.85546875" style="4" customWidth="1"/>
    <col min="37" max="43" width="12.28515625" style="4" customWidth="1"/>
    <col min="44" max="44" width="2.5703125" style="4" customWidth="1"/>
    <col min="45" max="51" width="13" style="4" customWidth="1"/>
    <col min="52" max="52" width="2.42578125" style="4" customWidth="1"/>
    <col min="53" max="59" width="14.140625" style="4" customWidth="1"/>
    <col min="60" max="60" width="2.28515625" style="4" customWidth="1"/>
    <col min="61" max="61" width="14.140625" style="4" customWidth="1"/>
    <col min="62" max="67" width="11.7109375" style="4" customWidth="1"/>
    <col min="68" max="68" width="2.5703125" style="4" customWidth="1"/>
    <col min="69" max="75" width="11.7109375" style="4" customWidth="1"/>
    <col min="76" max="76" width="2.7109375" style="4" customWidth="1"/>
    <col min="77" max="77" width="11.7109375" style="4" customWidth="1"/>
    <col min="78" max="78" width="10.5703125" style="4" customWidth="1"/>
    <col min="79" max="79" width="10.5703125" style="4" customWidth="1" outlineLevel="1"/>
    <col min="80" max="80" width="10.5703125" style="4" customWidth="1"/>
    <col min="81" max="81" width="10.5703125" style="4" customWidth="1" outlineLevel="1"/>
    <col min="82" max="83" width="10.5703125" style="4" customWidth="1"/>
    <col min="84" max="84" width="2.5703125" style="4" customWidth="1"/>
    <col min="85" max="85" width="12.5703125" style="4" customWidth="1"/>
    <col min="86" max="86" width="10.5703125" style="4" customWidth="1"/>
    <col min="87" max="87" width="8.5703125" style="4" customWidth="1" outlineLevel="1"/>
    <col min="88" max="88" width="10.5703125" style="4" customWidth="1"/>
    <col min="89" max="89" width="9.5703125" style="4" customWidth="1" outlineLevel="1"/>
    <col min="90" max="90" width="10.5703125" style="4" customWidth="1"/>
    <col min="91" max="91" width="12.28515625" style="4" customWidth="1"/>
    <col min="92" max="92" width="2.7109375" style="4" customWidth="1"/>
    <col min="93" max="94" width="10.5703125" style="4" customWidth="1"/>
    <col min="95" max="95" width="8.5703125" style="4" customWidth="1" outlineLevel="1"/>
    <col min="96" max="96" width="10.5703125" style="4" customWidth="1"/>
    <col min="97" max="97" width="9.5703125" style="4" customWidth="1" outlineLevel="1"/>
    <col min="98" max="99" width="10.5703125" style="4" customWidth="1"/>
    <col min="100" max="100" width="3" style="4" customWidth="1"/>
    <col min="101" max="102" width="10.5703125" style="4" customWidth="1"/>
    <col min="103" max="103" width="10.5703125" style="4" customWidth="1" outlineLevel="1"/>
    <col min="104" max="104" width="10.5703125" style="4" customWidth="1"/>
    <col min="105" max="105" width="10.5703125" style="4" customWidth="1" outlineLevel="1"/>
    <col min="106" max="107" width="10.5703125" style="4" customWidth="1"/>
    <col min="108" max="108" width="3" style="4" customWidth="1"/>
    <col min="109" max="110" width="10.5703125" style="6" customWidth="1"/>
    <col min="111" max="111" width="10.5703125" style="6" customWidth="1" outlineLevel="1"/>
    <col min="112" max="112" width="10.5703125" style="6" customWidth="1"/>
    <col min="113" max="113" width="10.5703125" style="6" customWidth="1" outlineLevel="1"/>
    <col min="114" max="115" width="10.5703125" style="6" customWidth="1"/>
    <col min="116" max="116" width="3" style="4" customWidth="1"/>
    <col min="117" max="118" width="10.5703125" style="4" customWidth="1"/>
    <col min="119" max="119" width="10.5703125" style="4" customWidth="1" outlineLevel="1"/>
    <col min="120" max="120" width="10.5703125" style="4" customWidth="1"/>
    <col min="121" max="121" width="10.5703125" style="4" customWidth="1" outlineLevel="1"/>
    <col min="122" max="123" width="10.5703125" style="4" customWidth="1"/>
    <col min="124" max="124" width="3" style="4" customWidth="1"/>
    <col min="125" max="126" width="10.5703125" style="4" customWidth="1"/>
    <col min="127" max="127" width="10.5703125" style="4" customWidth="1" outlineLevel="1"/>
    <col min="128" max="128" width="10.5703125" style="4" customWidth="1"/>
    <col min="129" max="129" width="10.5703125" style="4" customWidth="1" outlineLevel="1"/>
    <col min="130" max="131" width="10.5703125" style="4" customWidth="1"/>
    <col min="132" max="132" width="3" style="4" customWidth="1"/>
    <col min="133" max="134" width="10.5703125" style="4" customWidth="1"/>
    <col min="135" max="135" width="10.5703125" style="4" customWidth="1" outlineLevel="1"/>
    <col min="136" max="136" width="10.5703125" style="4" customWidth="1"/>
    <col min="137" max="137" width="10.5703125" style="4" customWidth="1" outlineLevel="1"/>
    <col min="138" max="139" width="10.5703125" style="4" customWidth="1"/>
    <col min="140" max="140" width="3" style="4" customWidth="1"/>
    <col min="141" max="142" width="10.5703125" style="4" customWidth="1"/>
    <col min="143" max="143" width="10.5703125" style="4" customWidth="1" outlineLevel="1"/>
    <col min="144" max="144" width="10.5703125" style="4" customWidth="1"/>
    <col min="145" max="145" width="10.5703125" style="4" customWidth="1" outlineLevel="1"/>
    <col min="146" max="147" width="10.5703125" style="4" customWidth="1"/>
    <col min="148" max="148" width="3" style="4" customWidth="1"/>
    <col min="149" max="150" width="10.5703125" style="4" customWidth="1"/>
    <col min="151" max="151" width="10.5703125" style="4" customWidth="1" outlineLevel="1"/>
    <col min="152" max="152" width="10.5703125" style="4" customWidth="1"/>
    <col min="153" max="153" width="10.5703125" style="4" customWidth="1" outlineLevel="1"/>
    <col min="154" max="155" width="10.5703125" style="4" customWidth="1"/>
    <col min="156" max="156" width="3" style="4" customWidth="1"/>
    <col min="157" max="158" width="10.5703125" style="4" customWidth="1"/>
    <col min="159" max="159" width="10.5703125" style="4" customWidth="1" outlineLevel="1"/>
    <col min="160" max="161" width="10.5703125" style="4" customWidth="1"/>
    <col min="162" max="16384" width="9.140625" style="4"/>
  </cols>
  <sheetData>
    <row r="1" spans="1:161" s="14" customFormat="1" x14ac:dyDescent="0.25">
      <c r="A1" s="12" t="s">
        <v>172</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7"/>
      <c r="BZ1" s="11"/>
      <c r="CA1" s="10"/>
      <c r="CB1" s="10"/>
      <c r="CC1" s="10"/>
      <c r="CD1" s="12"/>
      <c r="CE1" s="12"/>
      <c r="CF1" s="12"/>
      <c r="CG1" s="17"/>
      <c r="CH1" s="11"/>
      <c r="CI1" s="10"/>
      <c r="CJ1" s="10"/>
      <c r="CK1" s="10"/>
      <c r="CL1" s="10"/>
      <c r="CM1" s="10"/>
      <c r="CN1" s="10"/>
      <c r="CO1" s="17"/>
      <c r="CP1" s="11"/>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row>
    <row r="2" spans="1:161" s="14" customFormat="1" x14ac:dyDescent="0.25">
      <c r="A2" s="12" t="s">
        <v>33</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7"/>
      <c r="BZ2" s="11"/>
      <c r="CA2" s="10"/>
      <c r="CB2" s="10"/>
      <c r="CC2" s="10"/>
      <c r="CD2" s="12"/>
      <c r="CE2" s="12"/>
      <c r="CF2" s="12"/>
      <c r="CG2" s="17"/>
      <c r="CH2" s="11"/>
      <c r="CI2" s="10"/>
      <c r="CJ2" s="10"/>
      <c r="CK2" s="10"/>
      <c r="CL2" s="19"/>
      <c r="CM2" s="10"/>
      <c r="CN2" s="10"/>
      <c r="CO2" s="17"/>
      <c r="CP2" s="11"/>
      <c r="CQ2" s="10"/>
      <c r="CR2" s="10"/>
      <c r="CS2" s="10"/>
      <c r="CT2" s="19"/>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row>
    <row r="3" spans="1:161" s="14" customFormat="1" x14ac:dyDescent="0.2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7"/>
      <c r="BZ3" s="11"/>
      <c r="CA3" s="10"/>
      <c r="CB3" s="10"/>
      <c r="CC3" s="10"/>
      <c r="CD3" s="12"/>
      <c r="CE3" s="12"/>
      <c r="CF3" s="12"/>
      <c r="CG3" s="17"/>
      <c r="CH3" s="11"/>
      <c r="CI3" s="10"/>
      <c r="CJ3" s="10"/>
      <c r="CK3" s="10"/>
      <c r="CL3" s="10"/>
      <c r="CM3" s="10"/>
      <c r="CN3" s="10"/>
      <c r="CO3" s="17"/>
      <c r="CP3" s="11"/>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row>
    <row r="4" spans="1:161" x14ac:dyDescent="0.25">
      <c r="A4" s="5"/>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6"/>
      <c r="AJ4" s="6"/>
      <c r="AK4" s="12"/>
      <c r="AL4" s="12"/>
      <c r="AM4" s="12"/>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22"/>
      <c r="BZ4" s="22"/>
      <c r="CA4" s="22"/>
      <c r="CB4" s="22"/>
      <c r="CC4" s="22"/>
      <c r="CD4" s="6"/>
      <c r="CE4" s="6"/>
      <c r="CF4" s="6"/>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row>
    <row r="5" spans="1:161" x14ac:dyDescent="0.25">
      <c r="A5" s="5"/>
      <c r="B5" s="6"/>
      <c r="C5" s="6"/>
      <c r="D5" s="6"/>
      <c r="E5" s="6"/>
      <c r="F5" s="6"/>
      <c r="G5" s="6"/>
      <c r="H5" s="6"/>
      <c r="I5" s="6"/>
      <c r="J5" s="6"/>
      <c r="K5" s="6"/>
      <c r="L5" s="6"/>
      <c r="M5" s="6"/>
      <c r="N5" s="6"/>
      <c r="O5" s="6"/>
      <c r="P5" s="6"/>
      <c r="Q5" s="6"/>
      <c r="R5" s="6"/>
      <c r="S5" s="6"/>
      <c r="T5" s="6"/>
      <c r="U5" s="6"/>
      <c r="V5" s="30"/>
      <c r="W5" s="30"/>
      <c r="X5" s="30"/>
      <c r="Y5" s="30"/>
      <c r="Z5" s="30"/>
      <c r="AA5" s="6"/>
      <c r="AB5" s="6"/>
      <c r="AC5" s="6"/>
      <c r="AD5" s="30"/>
      <c r="AE5" s="30"/>
      <c r="AF5" s="30"/>
      <c r="AG5" s="30"/>
      <c r="AH5" s="30"/>
      <c r="AI5" s="30"/>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22"/>
      <c r="BZ5" s="22"/>
      <c r="CA5" s="22"/>
      <c r="CB5" s="22"/>
      <c r="CC5" s="22"/>
      <c r="CD5" s="6"/>
      <c r="CE5" s="6"/>
      <c r="CF5" s="6"/>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6"/>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row>
    <row r="6" spans="1:161" ht="15.75" thickBot="1" x14ac:dyDescent="0.3">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22"/>
      <c r="BZ6" s="22"/>
      <c r="CA6" s="22"/>
      <c r="CB6" s="22"/>
      <c r="CC6" s="22"/>
      <c r="CD6" s="6"/>
      <c r="CE6" s="6"/>
      <c r="CF6" s="6"/>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6"/>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row>
    <row r="7" spans="1:161" ht="15.75" thickBot="1" x14ac:dyDescent="0.3">
      <c r="A7" s="6"/>
      <c r="B7" s="724">
        <v>2026</v>
      </c>
      <c r="C7" s="6"/>
      <c r="D7" s="807">
        <v>2025</v>
      </c>
      <c r="E7" s="808"/>
      <c r="F7" s="808"/>
      <c r="G7" s="808"/>
      <c r="H7" s="808"/>
      <c r="I7" s="808"/>
      <c r="J7" s="809"/>
      <c r="K7" s="6"/>
      <c r="L7" s="807">
        <v>2024</v>
      </c>
      <c r="M7" s="808"/>
      <c r="N7" s="808"/>
      <c r="O7" s="808"/>
      <c r="P7" s="808"/>
      <c r="Q7" s="808"/>
      <c r="R7" s="809"/>
      <c r="S7" s="6"/>
      <c r="T7" s="807">
        <v>2023</v>
      </c>
      <c r="U7" s="808"/>
      <c r="V7" s="808"/>
      <c r="W7" s="808"/>
      <c r="X7" s="808"/>
      <c r="Y7" s="808"/>
      <c r="Z7" s="809"/>
      <c r="AA7" s="797"/>
      <c r="AB7" s="807">
        <v>2022</v>
      </c>
      <c r="AC7" s="808"/>
      <c r="AD7" s="808"/>
      <c r="AE7" s="808"/>
      <c r="AF7" s="808"/>
      <c r="AG7" s="808"/>
      <c r="AH7" s="809"/>
      <c r="AI7" s="438"/>
      <c r="AJ7" s="6"/>
      <c r="AK7" s="804">
        <v>2021</v>
      </c>
      <c r="AL7" s="805"/>
      <c r="AM7" s="805"/>
      <c r="AN7" s="805"/>
      <c r="AO7" s="805"/>
      <c r="AP7" s="805"/>
      <c r="AQ7" s="806"/>
      <c r="AR7" s="6"/>
      <c r="AS7" s="804">
        <v>2020</v>
      </c>
      <c r="AT7" s="805"/>
      <c r="AU7" s="805"/>
      <c r="AV7" s="805"/>
      <c r="AW7" s="805"/>
      <c r="AX7" s="805"/>
      <c r="AY7" s="806"/>
      <c r="AZ7" s="438"/>
      <c r="BA7" s="810">
        <v>2019</v>
      </c>
      <c r="BB7" s="811"/>
      <c r="BC7" s="811"/>
      <c r="BD7" s="811"/>
      <c r="BE7" s="811"/>
      <c r="BF7" s="811"/>
      <c r="BG7" s="812"/>
      <c r="BH7" s="6"/>
      <c r="BI7" s="810">
        <v>2018</v>
      </c>
      <c r="BJ7" s="811"/>
      <c r="BK7" s="811"/>
      <c r="BL7" s="811"/>
      <c r="BM7" s="811"/>
      <c r="BN7" s="811"/>
      <c r="BO7" s="812"/>
      <c r="BP7" s="6"/>
      <c r="BQ7" s="810">
        <v>2017</v>
      </c>
      <c r="BR7" s="811"/>
      <c r="BS7" s="811"/>
      <c r="BT7" s="811"/>
      <c r="BU7" s="811"/>
      <c r="BV7" s="811"/>
      <c r="BW7" s="812"/>
      <c r="BX7" s="6"/>
      <c r="BY7" s="810">
        <v>2016</v>
      </c>
      <c r="BZ7" s="811"/>
      <c r="CA7" s="811"/>
      <c r="CB7" s="811"/>
      <c r="CC7" s="811"/>
      <c r="CD7" s="811"/>
      <c r="CE7" s="812"/>
      <c r="CF7" s="6"/>
      <c r="CG7" s="810">
        <v>2015</v>
      </c>
      <c r="CH7" s="811"/>
      <c r="CI7" s="811"/>
      <c r="CJ7" s="811"/>
      <c r="CK7" s="811"/>
      <c r="CL7" s="811"/>
      <c r="CM7" s="812"/>
      <c r="CN7" s="91"/>
      <c r="CO7" s="810">
        <v>2014</v>
      </c>
      <c r="CP7" s="811"/>
      <c r="CQ7" s="811"/>
      <c r="CR7" s="811"/>
      <c r="CS7" s="811"/>
      <c r="CT7" s="811"/>
      <c r="CU7" s="812"/>
      <c r="CV7" s="91"/>
      <c r="CW7" s="810">
        <v>2013</v>
      </c>
      <c r="CX7" s="811"/>
      <c r="CY7" s="811"/>
      <c r="CZ7" s="811"/>
      <c r="DA7" s="811"/>
      <c r="DB7" s="811"/>
      <c r="DC7" s="812"/>
      <c r="DD7" s="91"/>
      <c r="DE7" s="810">
        <v>2012</v>
      </c>
      <c r="DF7" s="811"/>
      <c r="DG7" s="811"/>
      <c r="DH7" s="811"/>
      <c r="DI7" s="811"/>
      <c r="DJ7" s="811"/>
      <c r="DK7" s="812"/>
      <c r="DL7" s="91"/>
      <c r="DM7" s="810">
        <v>2011</v>
      </c>
      <c r="DN7" s="811"/>
      <c r="DO7" s="811"/>
      <c r="DP7" s="811"/>
      <c r="DQ7" s="811"/>
      <c r="DR7" s="811"/>
      <c r="DS7" s="812"/>
      <c r="DT7" s="91"/>
      <c r="DU7" s="810">
        <v>2010</v>
      </c>
      <c r="DV7" s="811"/>
      <c r="DW7" s="811"/>
      <c r="DX7" s="811"/>
      <c r="DY7" s="811"/>
      <c r="DZ7" s="811"/>
      <c r="EA7" s="812"/>
      <c r="EB7" s="91"/>
      <c r="EC7" s="810">
        <v>2009</v>
      </c>
      <c r="ED7" s="811"/>
      <c r="EE7" s="811"/>
      <c r="EF7" s="811"/>
      <c r="EG7" s="811"/>
      <c r="EH7" s="811"/>
      <c r="EI7" s="812"/>
      <c r="EJ7" s="91"/>
      <c r="EK7" s="810">
        <v>2008</v>
      </c>
      <c r="EL7" s="811"/>
      <c r="EM7" s="811"/>
      <c r="EN7" s="811"/>
      <c r="EO7" s="811"/>
      <c r="EP7" s="811"/>
      <c r="EQ7" s="812"/>
      <c r="ER7" s="91"/>
      <c r="ES7" s="810">
        <v>2007</v>
      </c>
      <c r="ET7" s="811"/>
      <c r="EU7" s="811"/>
      <c r="EV7" s="811"/>
      <c r="EW7" s="811"/>
      <c r="EX7" s="811"/>
      <c r="EY7" s="812"/>
      <c r="EZ7" s="91"/>
      <c r="FA7" s="810">
        <v>2006</v>
      </c>
      <c r="FB7" s="811"/>
      <c r="FC7" s="811"/>
      <c r="FD7" s="811"/>
      <c r="FE7" s="812"/>
    </row>
    <row r="8" spans="1:161" s="163" customFormat="1" x14ac:dyDescent="0.25">
      <c r="A8" s="35"/>
      <c r="B8" s="728" t="s">
        <v>3</v>
      </c>
      <c r="C8" s="35"/>
      <c r="D8" s="521" t="s">
        <v>3</v>
      </c>
      <c r="E8" s="97" t="s">
        <v>4</v>
      </c>
      <c r="F8" s="97" t="s">
        <v>5</v>
      </c>
      <c r="G8" s="97" t="s">
        <v>6</v>
      </c>
      <c r="H8" s="97" t="s">
        <v>7</v>
      </c>
      <c r="I8" s="546" t="str">
        <f>Q8</f>
        <v>Q4 QTD</v>
      </c>
      <c r="J8" s="543" t="str">
        <f>R8</f>
        <v>Q4 YTD</v>
      </c>
      <c r="K8" s="35"/>
      <c r="L8" s="521" t="s">
        <v>3</v>
      </c>
      <c r="M8" s="97" t="s">
        <v>4</v>
      </c>
      <c r="N8" s="97" t="s">
        <v>5</v>
      </c>
      <c r="O8" s="97" t="s">
        <v>6</v>
      </c>
      <c r="P8" s="97" t="s">
        <v>7</v>
      </c>
      <c r="Q8" s="546" t="str">
        <f>Y8</f>
        <v>Q4 QTD</v>
      </c>
      <c r="R8" s="543" t="str">
        <f>Z8</f>
        <v>Q4 YTD</v>
      </c>
      <c r="S8" s="35"/>
      <c r="T8" s="521" t="s">
        <v>3</v>
      </c>
      <c r="U8" s="97" t="s">
        <v>4</v>
      </c>
      <c r="V8" s="97" t="s">
        <v>5</v>
      </c>
      <c r="W8" s="97" t="s">
        <v>6</v>
      </c>
      <c r="X8" s="97" t="s">
        <v>7</v>
      </c>
      <c r="Y8" s="546" t="str">
        <f>AG8</f>
        <v>Q4 QTD</v>
      </c>
      <c r="Z8" s="543" t="str">
        <f>AH8</f>
        <v>Q4 YTD</v>
      </c>
      <c r="AA8" s="10"/>
      <c r="AB8" s="521" t="s">
        <v>3</v>
      </c>
      <c r="AC8" s="97" t="s">
        <v>4</v>
      </c>
      <c r="AD8" s="97" t="s">
        <v>5</v>
      </c>
      <c r="AE8" s="97" t="s">
        <v>6</v>
      </c>
      <c r="AF8" s="97" t="s">
        <v>7</v>
      </c>
      <c r="AG8" s="546" t="str">
        <f>AP8</f>
        <v>Q4 QTD</v>
      </c>
      <c r="AH8" s="543" t="str">
        <f>AQ8</f>
        <v>Q4 YTD</v>
      </c>
      <c r="AI8" s="10"/>
      <c r="AJ8" s="6"/>
      <c r="AK8" s="76" t="s">
        <v>3</v>
      </c>
      <c r="AL8" s="10" t="s">
        <v>4</v>
      </c>
      <c r="AM8" s="10" t="s">
        <v>5</v>
      </c>
      <c r="AN8" s="10" t="s">
        <v>6</v>
      </c>
      <c r="AO8" s="10" t="s">
        <v>7</v>
      </c>
      <c r="AP8" s="10" t="s">
        <v>8</v>
      </c>
      <c r="AQ8" s="13" t="s">
        <v>9</v>
      </c>
      <c r="AR8" s="35"/>
      <c r="AS8" s="76" t="s">
        <v>3</v>
      </c>
      <c r="AT8" s="10" t="s">
        <v>4</v>
      </c>
      <c r="AU8" s="10" t="s">
        <v>5</v>
      </c>
      <c r="AV8" s="10" t="s">
        <v>6</v>
      </c>
      <c r="AW8" s="10" t="s">
        <v>7</v>
      </c>
      <c r="AX8" s="10" t="s">
        <v>8</v>
      </c>
      <c r="AY8" s="13" t="s">
        <v>9</v>
      </c>
      <c r="AZ8" s="10"/>
      <c r="BA8" s="76" t="s">
        <v>3</v>
      </c>
      <c r="BB8" s="10" t="s">
        <v>4</v>
      </c>
      <c r="BC8" s="10" t="s">
        <v>5</v>
      </c>
      <c r="BD8" s="10" t="s">
        <v>6</v>
      </c>
      <c r="BE8" s="10" t="s">
        <v>7</v>
      </c>
      <c r="BF8" s="10" t="s">
        <v>8</v>
      </c>
      <c r="BG8" s="13" t="s">
        <v>9</v>
      </c>
      <c r="BH8" s="35"/>
      <c r="BI8" s="76" t="s">
        <v>3</v>
      </c>
      <c r="BJ8" s="10" t="s">
        <v>4</v>
      </c>
      <c r="BK8" s="10" t="s">
        <v>5</v>
      </c>
      <c r="BL8" s="10" t="s">
        <v>6</v>
      </c>
      <c r="BM8" s="10" t="s">
        <v>7</v>
      </c>
      <c r="BN8" s="10" t="s">
        <v>8</v>
      </c>
      <c r="BO8" s="13" t="s">
        <v>9</v>
      </c>
      <c r="BP8" s="35"/>
      <c r="BQ8" s="76" t="s">
        <v>3</v>
      </c>
      <c r="BR8" s="10" t="s">
        <v>4</v>
      </c>
      <c r="BS8" s="10" t="s">
        <v>5</v>
      </c>
      <c r="BT8" s="10" t="s">
        <v>6</v>
      </c>
      <c r="BU8" s="10" t="s">
        <v>7</v>
      </c>
      <c r="BV8" s="10" t="s">
        <v>8</v>
      </c>
      <c r="BW8" s="13" t="s">
        <v>9</v>
      </c>
      <c r="BX8" s="35"/>
      <c r="BY8" s="76" t="s">
        <v>3</v>
      </c>
      <c r="BZ8" s="10" t="s">
        <v>4</v>
      </c>
      <c r="CA8" s="10" t="s">
        <v>5</v>
      </c>
      <c r="CB8" s="10" t="s">
        <v>6</v>
      </c>
      <c r="CC8" s="10" t="s">
        <v>7</v>
      </c>
      <c r="CD8" s="10" t="s">
        <v>8</v>
      </c>
      <c r="CE8" s="13" t="s">
        <v>9</v>
      </c>
      <c r="CF8" s="35"/>
      <c r="CG8" s="76" t="s">
        <v>3</v>
      </c>
      <c r="CH8" s="10" t="s">
        <v>4</v>
      </c>
      <c r="CI8" s="10" t="s">
        <v>5</v>
      </c>
      <c r="CJ8" s="10" t="s">
        <v>6</v>
      </c>
      <c r="CK8" s="10" t="s">
        <v>7</v>
      </c>
      <c r="CL8" s="10" t="s">
        <v>8</v>
      </c>
      <c r="CM8" s="13" t="s">
        <v>9</v>
      </c>
      <c r="CN8" s="10"/>
      <c r="CO8" s="76" t="s">
        <v>3</v>
      </c>
      <c r="CP8" s="10" t="s">
        <v>4</v>
      </c>
      <c r="CQ8" s="10" t="s">
        <v>5</v>
      </c>
      <c r="CR8" s="10" t="s">
        <v>6</v>
      </c>
      <c r="CS8" s="10" t="s">
        <v>7</v>
      </c>
      <c r="CT8" s="10" t="s">
        <v>8</v>
      </c>
      <c r="CU8" s="13" t="s">
        <v>9</v>
      </c>
      <c r="CV8" s="10"/>
      <c r="CW8" s="76" t="s">
        <v>3</v>
      </c>
      <c r="CX8" s="10" t="s">
        <v>4</v>
      </c>
      <c r="CY8" s="10" t="s">
        <v>5</v>
      </c>
      <c r="CZ8" s="10" t="s">
        <v>6</v>
      </c>
      <c r="DA8" s="10" t="s">
        <v>7</v>
      </c>
      <c r="DB8" s="10" t="s">
        <v>8</v>
      </c>
      <c r="DC8" s="13" t="s">
        <v>9</v>
      </c>
      <c r="DD8" s="10"/>
      <c r="DE8" s="76" t="s">
        <v>3</v>
      </c>
      <c r="DF8" s="10" t="s">
        <v>4</v>
      </c>
      <c r="DG8" s="10" t="s">
        <v>5</v>
      </c>
      <c r="DH8" s="10" t="s">
        <v>6</v>
      </c>
      <c r="DI8" s="10" t="s">
        <v>7</v>
      </c>
      <c r="DJ8" s="10" t="s">
        <v>8</v>
      </c>
      <c r="DK8" s="13" t="s">
        <v>9</v>
      </c>
      <c r="DL8" s="10"/>
      <c r="DM8" s="76" t="s">
        <v>3</v>
      </c>
      <c r="DN8" s="10" t="s">
        <v>4</v>
      </c>
      <c r="DO8" s="10" t="s">
        <v>5</v>
      </c>
      <c r="DP8" s="10" t="s">
        <v>6</v>
      </c>
      <c r="DQ8" s="10" t="s">
        <v>7</v>
      </c>
      <c r="DR8" s="10" t="s">
        <v>8</v>
      </c>
      <c r="DS8" s="13" t="s">
        <v>9</v>
      </c>
      <c r="DT8" s="10"/>
      <c r="DU8" s="76" t="s">
        <v>3</v>
      </c>
      <c r="DV8" s="10" t="s">
        <v>4</v>
      </c>
      <c r="DW8" s="10" t="s">
        <v>5</v>
      </c>
      <c r="DX8" s="10" t="s">
        <v>6</v>
      </c>
      <c r="DY8" s="10" t="s">
        <v>7</v>
      </c>
      <c r="DZ8" s="10" t="s">
        <v>8</v>
      </c>
      <c r="EA8" s="13" t="s">
        <v>9</v>
      </c>
      <c r="EB8" s="10"/>
      <c r="EC8" s="76" t="s">
        <v>3</v>
      </c>
      <c r="ED8" s="10" t="s">
        <v>4</v>
      </c>
      <c r="EE8" s="10" t="s">
        <v>5</v>
      </c>
      <c r="EF8" s="10" t="s">
        <v>6</v>
      </c>
      <c r="EG8" s="10" t="s">
        <v>7</v>
      </c>
      <c r="EH8" s="10" t="s">
        <v>8</v>
      </c>
      <c r="EI8" s="13" t="s">
        <v>9</v>
      </c>
      <c r="EJ8" s="10"/>
      <c r="EK8" s="76" t="s">
        <v>3</v>
      </c>
      <c r="EL8" s="10" t="s">
        <v>4</v>
      </c>
      <c r="EM8" s="10" t="s">
        <v>5</v>
      </c>
      <c r="EN8" s="10" t="s">
        <v>6</v>
      </c>
      <c r="EO8" s="10" t="s">
        <v>7</v>
      </c>
      <c r="EP8" s="10" t="s">
        <v>8</v>
      </c>
      <c r="EQ8" s="13" t="s">
        <v>9</v>
      </c>
      <c r="ER8" s="10"/>
      <c r="ES8" s="76" t="s">
        <v>3</v>
      </c>
      <c r="ET8" s="10" t="s">
        <v>4</v>
      </c>
      <c r="EU8" s="10" t="s">
        <v>5</v>
      </c>
      <c r="EV8" s="10" t="s">
        <v>6</v>
      </c>
      <c r="EW8" s="10" t="s">
        <v>7</v>
      </c>
      <c r="EX8" s="10" t="s">
        <v>8</v>
      </c>
      <c r="EY8" s="13" t="s">
        <v>9</v>
      </c>
      <c r="EZ8" s="10"/>
      <c r="FA8" s="76" t="s">
        <v>5</v>
      </c>
      <c r="FB8" s="10" t="s">
        <v>6</v>
      </c>
      <c r="FC8" s="10" t="s">
        <v>7</v>
      </c>
      <c r="FD8" s="10" t="s">
        <v>8</v>
      </c>
      <c r="FE8" s="13" t="s">
        <v>9</v>
      </c>
    </row>
    <row r="9" spans="1:161" x14ac:dyDescent="0.25">
      <c r="A9" s="6"/>
      <c r="B9" s="598"/>
      <c r="C9" s="6"/>
      <c r="D9" s="76"/>
      <c r="E9" s="10"/>
      <c r="F9" s="10"/>
      <c r="G9" s="10"/>
      <c r="H9" s="10"/>
      <c r="I9" s="10"/>
      <c r="J9" s="13"/>
      <c r="K9" s="6"/>
      <c r="L9" s="76"/>
      <c r="M9" s="10"/>
      <c r="N9" s="10"/>
      <c r="O9" s="10"/>
      <c r="P9" s="10"/>
      <c r="Q9" s="10"/>
      <c r="R9" s="13"/>
      <c r="S9" s="6"/>
      <c r="T9" s="76"/>
      <c r="U9" s="10"/>
      <c r="V9" s="10"/>
      <c r="W9" s="10"/>
      <c r="X9" s="10"/>
      <c r="Y9" s="10"/>
      <c r="Z9" s="13"/>
      <c r="AA9" s="274"/>
      <c r="AB9" s="76"/>
      <c r="AC9" s="10"/>
      <c r="AD9" s="10"/>
      <c r="AE9" s="10"/>
      <c r="AF9" s="10"/>
      <c r="AG9" s="10"/>
      <c r="AH9" s="13"/>
      <c r="AI9" s="10"/>
      <c r="AJ9" s="6"/>
      <c r="AK9" s="76"/>
      <c r="AL9" s="10"/>
      <c r="AM9" s="10"/>
      <c r="AN9" s="10"/>
      <c r="AO9" s="10"/>
      <c r="AP9" s="10"/>
      <c r="AQ9" s="13"/>
      <c r="AR9" s="6"/>
      <c r="AS9" s="76"/>
      <c r="AT9" s="10"/>
      <c r="AU9" s="10"/>
      <c r="AV9" s="10"/>
      <c r="AW9" s="10"/>
      <c r="AX9" s="10"/>
      <c r="AY9" s="13"/>
      <c r="AZ9" s="10"/>
      <c r="BA9" s="76"/>
      <c r="BB9" s="10"/>
      <c r="BC9" s="10"/>
      <c r="BD9" s="10"/>
      <c r="BE9" s="10"/>
      <c r="BF9" s="10"/>
      <c r="BG9" s="13"/>
      <c r="BH9" s="6"/>
      <c r="BI9" s="76"/>
      <c r="BJ9" s="10"/>
      <c r="BK9" s="10"/>
      <c r="BL9" s="10"/>
      <c r="BM9" s="10"/>
      <c r="BN9" s="10"/>
      <c r="BO9" s="13"/>
      <c r="BP9" s="6"/>
      <c r="BQ9" s="76"/>
      <c r="BR9" s="10"/>
      <c r="BS9" s="10"/>
      <c r="BT9" s="10"/>
      <c r="BU9" s="10"/>
      <c r="BV9" s="10"/>
      <c r="BW9" s="13"/>
      <c r="BX9" s="6"/>
      <c r="BY9" s="76"/>
      <c r="BZ9" s="10"/>
      <c r="CA9" s="10"/>
      <c r="CB9" s="10"/>
      <c r="CC9" s="10"/>
      <c r="CD9" s="10"/>
      <c r="CE9" s="13"/>
      <c r="CF9" s="6"/>
      <c r="CG9" s="76"/>
      <c r="CH9" s="10"/>
      <c r="CI9" s="10"/>
      <c r="CJ9" s="10"/>
      <c r="CK9" s="10"/>
      <c r="CL9" s="10"/>
      <c r="CM9" s="13"/>
      <c r="CN9" s="10"/>
      <c r="CO9" s="76"/>
      <c r="CP9" s="10"/>
      <c r="CQ9" s="10"/>
      <c r="CR9" s="10"/>
      <c r="CS9" s="10"/>
      <c r="CT9" s="10"/>
      <c r="CU9" s="13"/>
      <c r="CV9" s="10"/>
      <c r="CW9" s="76"/>
      <c r="CX9" s="10"/>
      <c r="CY9" s="10"/>
      <c r="CZ9" s="10"/>
      <c r="DA9" s="10"/>
      <c r="DB9" s="10"/>
      <c r="DC9" s="13"/>
      <c r="DD9" s="10"/>
      <c r="DE9" s="76"/>
      <c r="DF9" s="10"/>
      <c r="DG9" s="10"/>
      <c r="DH9" s="10"/>
      <c r="DI9" s="10"/>
      <c r="DJ9" s="10"/>
      <c r="DK9" s="13"/>
      <c r="DL9" s="10"/>
      <c r="DM9" s="76"/>
      <c r="DN9" s="10"/>
      <c r="DO9" s="10"/>
      <c r="DP9" s="10"/>
      <c r="DQ9" s="10"/>
      <c r="DR9" s="10"/>
      <c r="DS9" s="13"/>
      <c r="DT9" s="10"/>
      <c r="DU9" s="76"/>
      <c r="DV9" s="10"/>
      <c r="DW9" s="10"/>
      <c r="DX9" s="10"/>
      <c r="DY9" s="10"/>
      <c r="DZ9" s="10"/>
      <c r="EA9" s="13"/>
      <c r="EB9" s="10"/>
      <c r="EC9" s="76"/>
      <c r="ED9" s="10"/>
      <c r="EE9" s="10"/>
      <c r="EF9" s="10"/>
      <c r="EG9" s="10"/>
      <c r="EH9" s="10"/>
      <c r="EI9" s="13"/>
      <c r="EJ9" s="10"/>
      <c r="EK9" s="76"/>
      <c r="EL9" s="10"/>
      <c r="EM9" s="10"/>
      <c r="EN9" s="10"/>
      <c r="EO9" s="10"/>
      <c r="EP9" s="10"/>
      <c r="EQ9" s="13"/>
      <c r="ER9" s="10"/>
      <c r="ES9" s="76"/>
      <c r="ET9" s="10"/>
      <c r="EU9" s="10"/>
      <c r="EV9" s="10"/>
      <c r="EW9" s="10"/>
      <c r="EX9" s="10"/>
      <c r="EY9" s="13"/>
      <c r="EZ9" s="10"/>
      <c r="FA9" s="76"/>
      <c r="FB9" s="10"/>
      <c r="FC9" s="10"/>
      <c r="FD9" s="10"/>
      <c r="FE9" s="13"/>
    </row>
    <row r="10" spans="1:161" s="14" customFormat="1" x14ac:dyDescent="0.25">
      <c r="A10" s="12" t="s">
        <v>10</v>
      </c>
      <c r="B10" s="578">
        <v>0</v>
      </c>
      <c r="C10" s="12"/>
      <c r="D10" s="25">
        <v>0</v>
      </c>
      <c r="E10" s="406">
        <v>0</v>
      </c>
      <c r="F10" s="406">
        <v>0</v>
      </c>
      <c r="G10" s="406">
        <v>0</v>
      </c>
      <c r="H10" s="406">
        <v>0</v>
      </c>
      <c r="I10" s="406">
        <v>0</v>
      </c>
      <c r="J10" s="21">
        <v>0</v>
      </c>
      <c r="K10" s="12"/>
      <c r="L10" s="25">
        <v>0</v>
      </c>
      <c r="M10" s="406">
        <v>0</v>
      </c>
      <c r="N10" s="406">
        <v>0</v>
      </c>
      <c r="O10" s="406">
        <v>0</v>
      </c>
      <c r="P10" s="406">
        <v>0</v>
      </c>
      <c r="Q10" s="406">
        <v>0</v>
      </c>
      <c r="R10" s="21">
        <v>0</v>
      </c>
      <c r="S10" s="12"/>
      <c r="T10" s="25">
        <v>0</v>
      </c>
      <c r="U10" s="406">
        <f>V10-T10</f>
        <v>0</v>
      </c>
      <c r="V10" s="406">
        <v>0</v>
      </c>
      <c r="W10" s="406">
        <f>X10-V10</f>
        <v>0</v>
      </c>
      <c r="X10" s="406">
        <v>0</v>
      </c>
      <c r="Y10" s="406">
        <f>Z10-X10</f>
        <v>0</v>
      </c>
      <c r="Z10" s="21">
        <v>0</v>
      </c>
      <c r="AA10" s="274"/>
      <c r="AB10" s="25">
        <v>0</v>
      </c>
      <c r="AC10" s="406">
        <f>AD10-AB10</f>
        <v>0</v>
      </c>
      <c r="AD10" s="406">
        <v>0</v>
      </c>
      <c r="AE10" s="406">
        <f>AF10-AD10</f>
        <v>0</v>
      </c>
      <c r="AF10" s="406">
        <v>0</v>
      </c>
      <c r="AG10" s="406">
        <f>AH10-AF10</f>
        <v>0</v>
      </c>
      <c r="AH10" s="21">
        <v>0</v>
      </c>
      <c r="AI10" s="406"/>
      <c r="AJ10" s="12" t="s">
        <v>10</v>
      </c>
      <c r="AK10" s="25">
        <v>0</v>
      </c>
      <c r="AL10" s="406">
        <v>0</v>
      </c>
      <c r="AM10" s="406">
        <v>0</v>
      </c>
      <c r="AN10" s="406">
        <v>0</v>
      </c>
      <c r="AO10" s="406">
        <v>0</v>
      </c>
      <c r="AP10" s="406">
        <f>AQ10-AO10</f>
        <v>0</v>
      </c>
      <c r="AQ10" s="21">
        <v>0</v>
      </c>
      <c r="AR10" s="12"/>
      <c r="AS10" s="25">
        <v>0</v>
      </c>
      <c r="AT10" s="406">
        <v>0</v>
      </c>
      <c r="AU10" s="406">
        <v>0</v>
      </c>
      <c r="AV10" s="406">
        <v>0</v>
      </c>
      <c r="AW10" s="406">
        <v>0</v>
      </c>
      <c r="AX10" s="406">
        <v>0</v>
      </c>
      <c r="AY10" s="21">
        <v>0</v>
      </c>
      <c r="AZ10" s="406"/>
      <c r="BA10" s="25">
        <v>0</v>
      </c>
      <c r="BB10" s="406">
        <v>0</v>
      </c>
      <c r="BC10" s="406">
        <v>0</v>
      </c>
      <c r="BD10" s="406">
        <v>0</v>
      </c>
      <c r="BE10" s="406">
        <v>0</v>
      </c>
      <c r="BF10" s="406">
        <v>0</v>
      </c>
      <c r="BG10" s="21">
        <v>0</v>
      </c>
      <c r="BH10" s="12"/>
      <c r="BI10" s="25">
        <v>0</v>
      </c>
      <c r="BJ10" s="406">
        <v>0</v>
      </c>
      <c r="BK10" s="406">
        <v>0</v>
      </c>
      <c r="BL10" s="406">
        <v>0</v>
      </c>
      <c r="BM10" s="406">
        <v>0</v>
      </c>
      <c r="BN10" s="406">
        <v>0</v>
      </c>
      <c r="BO10" s="21">
        <v>0</v>
      </c>
      <c r="BP10" s="12"/>
      <c r="BQ10" s="25">
        <v>0</v>
      </c>
      <c r="BR10" s="406">
        <v>0</v>
      </c>
      <c r="BS10" s="406">
        <v>0</v>
      </c>
      <c r="BT10" s="406">
        <v>0</v>
      </c>
      <c r="BU10" s="406">
        <v>0</v>
      </c>
      <c r="BV10" s="406">
        <v>0</v>
      </c>
      <c r="BW10" s="21">
        <v>0</v>
      </c>
      <c r="BX10" s="12"/>
      <c r="BY10" s="25">
        <v>0</v>
      </c>
      <c r="BZ10" s="406">
        <v>0</v>
      </c>
      <c r="CA10" s="406">
        <v>0</v>
      </c>
      <c r="CB10" s="406">
        <v>0</v>
      </c>
      <c r="CC10" s="406">
        <v>0</v>
      </c>
      <c r="CD10" s="406">
        <v>0</v>
      </c>
      <c r="CE10" s="21">
        <v>0</v>
      </c>
      <c r="CF10" s="12"/>
      <c r="CG10" s="25">
        <v>0</v>
      </c>
      <c r="CH10" s="406">
        <v>0</v>
      </c>
      <c r="CI10" s="406">
        <v>0</v>
      </c>
      <c r="CJ10" s="406">
        <v>0</v>
      </c>
      <c r="CK10" s="406">
        <v>0</v>
      </c>
      <c r="CL10" s="406">
        <v>0</v>
      </c>
      <c r="CM10" s="21">
        <v>0</v>
      </c>
      <c r="CN10" s="20"/>
      <c r="CO10" s="25">
        <v>0</v>
      </c>
      <c r="CP10" s="406">
        <v>0</v>
      </c>
      <c r="CQ10" s="406">
        <v>0</v>
      </c>
      <c r="CR10" s="406">
        <v>0</v>
      </c>
      <c r="CS10" s="406">
        <v>0</v>
      </c>
      <c r="CT10" s="406">
        <v>0</v>
      </c>
      <c r="CU10" s="21">
        <v>0</v>
      </c>
      <c r="CV10" s="20"/>
      <c r="CW10" s="25">
        <v>0</v>
      </c>
      <c r="CX10" s="406">
        <v>0</v>
      </c>
      <c r="CY10" s="406"/>
      <c r="CZ10" s="406">
        <v>0</v>
      </c>
      <c r="DA10" s="406"/>
      <c r="DB10" s="406">
        <v>0</v>
      </c>
      <c r="DC10" s="21"/>
      <c r="DD10" s="20"/>
      <c r="DE10" s="25">
        <v>0</v>
      </c>
      <c r="DF10" s="406">
        <v>0</v>
      </c>
      <c r="DG10" s="406">
        <v>0</v>
      </c>
      <c r="DH10" s="406">
        <v>0</v>
      </c>
      <c r="DI10" s="406">
        <v>0</v>
      </c>
      <c r="DJ10" s="406">
        <v>0</v>
      </c>
      <c r="DK10" s="21">
        <v>0</v>
      </c>
      <c r="DL10" s="20"/>
      <c r="DM10" s="25">
        <v>0</v>
      </c>
      <c r="DN10" s="406">
        <v>0</v>
      </c>
      <c r="DO10" s="406">
        <v>0</v>
      </c>
      <c r="DP10" s="406">
        <v>0</v>
      </c>
      <c r="DQ10" s="406">
        <v>0</v>
      </c>
      <c r="DR10" s="406">
        <v>0</v>
      </c>
      <c r="DS10" s="21">
        <v>0</v>
      </c>
      <c r="DT10" s="20"/>
      <c r="DU10" s="25">
        <v>0</v>
      </c>
      <c r="DV10" s="406">
        <v>0</v>
      </c>
      <c r="DW10" s="406">
        <v>0</v>
      </c>
      <c r="DX10" s="406">
        <v>0</v>
      </c>
      <c r="DY10" s="406">
        <v>0</v>
      </c>
      <c r="DZ10" s="406">
        <v>-9502</v>
      </c>
      <c r="EA10" s="21">
        <v>-9502</v>
      </c>
      <c r="EB10" s="20"/>
      <c r="EC10" s="25">
        <v>0</v>
      </c>
      <c r="ED10" s="406">
        <v>0</v>
      </c>
      <c r="EE10" s="406">
        <v>0</v>
      </c>
      <c r="EF10" s="406">
        <v>0</v>
      </c>
      <c r="EG10" s="406">
        <v>0</v>
      </c>
      <c r="EH10" s="406">
        <v>0</v>
      </c>
      <c r="EI10" s="21">
        <v>0</v>
      </c>
      <c r="EJ10" s="20"/>
      <c r="EK10" s="25">
        <v>0</v>
      </c>
      <c r="EL10" s="406">
        <v>0</v>
      </c>
      <c r="EM10" s="406">
        <v>0</v>
      </c>
      <c r="EN10" s="406">
        <v>0</v>
      </c>
      <c r="EO10" s="406">
        <v>0</v>
      </c>
      <c r="EP10" s="406">
        <v>0</v>
      </c>
      <c r="EQ10" s="21">
        <v>0</v>
      </c>
      <c r="ER10" s="20"/>
      <c r="ES10" s="25"/>
      <c r="ET10" s="406"/>
      <c r="EU10" s="406"/>
      <c r="EV10" s="406">
        <v>1</v>
      </c>
      <c r="EW10" s="406">
        <v>1</v>
      </c>
      <c r="EX10" s="406">
        <v>-1</v>
      </c>
      <c r="EY10" s="21"/>
      <c r="EZ10" s="20"/>
      <c r="FA10" s="25">
        <v>0</v>
      </c>
      <c r="FB10" s="406">
        <v>0</v>
      </c>
      <c r="FC10" s="406">
        <v>0</v>
      </c>
      <c r="FD10" s="406"/>
      <c r="FE10" s="21"/>
    </row>
    <row r="11" spans="1:161" s="194" customFormat="1" ht="17.25" x14ac:dyDescent="0.4">
      <c r="A11" s="12" t="s">
        <v>11</v>
      </c>
      <c r="B11" s="734">
        <v>0</v>
      </c>
      <c r="C11" s="12"/>
      <c r="D11" s="374">
        <v>0</v>
      </c>
      <c r="E11" s="523">
        <v>0</v>
      </c>
      <c r="F11" s="523">
        <v>0</v>
      </c>
      <c r="G11" s="523">
        <v>0</v>
      </c>
      <c r="H11" s="523">
        <v>0</v>
      </c>
      <c r="I11" s="523">
        <v>0</v>
      </c>
      <c r="J11" s="375">
        <v>0</v>
      </c>
      <c r="K11" s="12"/>
      <c r="L11" s="374">
        <v>0</v>
      </c>
      <c r="M11" s="523">
        <v>0</v>
      </c>
      <c r="N11" s="523">
        <v>0</v>
      </c>
      <c r="O11" s="523">
        <v>0</v>
      </c>
      <c r="P11" s="523">
        <v>0</v>
      </c>
      <c r="Q11" s="523">
        <v>0</v>
      </c>
      <c r="R11" s="375">
        <v>0</v>
      </c>
      <c r="S11" s="12"/>
      <c r="T11" s="374">
        <v>0</v>
      </c>
      <c r="U11" s="523">
        <f t="shared" ref="U11:Y24" si="0">V11-T11</f>
        <v>0</v>
      </c>
      <c r="V11" s="523">
        <v>0</v>
      </c>
      <c r="W11" s="523">
        <f t="shared" si="0"/>
        <v>0</v>
      </c>
      <c r="X11" s="523">
        <v>0</v>
      </c>
      <c r="Y11" s="523">
        <f t="shared" si="0"/>
        <v>0</v>
      </c>
      <c r="Z11" s="292">
        <v>0</v>
      </c>
      <c r="AA11" s="274"/>
      <c r="AB11" s="374">
        <v>0</v>
      </c>
      <c r="AC11" s="523">
        <f t="shared" ref="AC11:AC26" si="1">AD11-AB11</f>
        <v>0</v>
      </c>
      <c r="AD11" s="440">
        <v>0</v>
      </c>
      <c r="AE11" s="440">
        <f t="shared" ref="AE11:AE26" si="2">AF11-AD11</f>
        <v>0</v>
      </c>
      <c r="AF11" s="440">
        <v>0</v>
      </c>
      <c r="AG11" s="440">
        <v>0</v>
      </c>
      <c r="AH11" s="292">
        <v>0</v>
      </c>
      <c r="AI11" s="406"/>
      <c r="AJ11" s="12" t="s">
        <v>11</v>
      </c>
      <c r="AK11" s="291">
        <v>0</v>
      </c>
      <c r="AL11" s="407">
        <v>0</v>
      </c>
      <c r="AM11" s="407">
        <v>0</v>
      </c>
      <c r="AN11" s="407">
        <v>0</v>
      </c>
      <c r="AO11" s="407">
        <v>0</v>
      </c>
      <c r="AP11" s="407">
        <f t="shared" ref="AP11:AP26" si="3">AQ11-AO11</f>
        <v>0</v>
      </c>
      <c r="AQ11" s="292">
        <v>0</v>
      </c>
      <c r="AR11" s="12"/>
      <c r="AS11" s="291">
        <v>0</v>
      </c>
      <c r="AT11" s="407">
        <v>0</v>
      </c>
      <c r="AU11" s="407">
        <v>0</v>
      </c>
      <c r="AV11" s="407">
        <v>0</v>
      </c>
      <c r="AW11" s="407">
        <v>0</v>
      </c>
      <c r="AX11" s="407">
        <v>0</v>
      </c>
      <c r="AY11" s="292">
        <v>0</v>
      </c>
      <c r="AZ11" s="407"/>
      <c r="BA11" s="291">
        <v>0</v>
      </c>
      <c r="BB11" s="407">
        <v>0</v>
      </c>
      <c r="BC11" s="407">
        <v>0</v>
      </c>
      <c r="BD11" s="407">
        <v>0</v>
      </c>
      <c r="BE11" s="407">
        <v>0</v>
      </c>
      <c r="BF11" s="407">
        <v>0</v>
      </c>
      <c r="BG11" s="292">
        <v>0</v>
      </c>
      <c r="BH11" s="12"/>
      <c r="BI11" s="291">
        <v>0</v>
      </c>
      <c r="BJ11" s="407">
        <v>0</v>
      </c>
      <c r="BK11" s="407">
        <v>0</v>
      </c>
      <c r="BL11" s="407">
        <v>0</v>
      </c>
      <c r="BM11" s="407">
        <v>0</v>
      </c>
      <c r="BN11" s="407">
        <v>0</v>
      </c>
      <c r="BO11" s="292">
        <v>0</v>
      </c>
      <c r="BP11" s="12"/>
      <c r="BQ11" s="291">
        <v>0</v>
      </c>
      <c r="BR11" s="407">
        <v>0</v>
      </c>
      <c r="BS11" s="407">
        <v>0</v>
      </c>
      <c r="BT11" s="407">
        <v>0</v>
      </c>
      <c r="BU11" s="407">
        <v>0</v>
      </c>
      <c r="BV11" s="407">
        <v>0</v>
      </c>
      <c r="BW11" s="292">
        <v>0</v>
      </c>
      <c r="BX11" s="12"/>
      <c r="BY11" s="291">
        <v>0</v>
      </c>
      <c r="BZ11" s="407">
        <v>0</v>
      </c>
      <c r="CA11" s="407">
        <v>0</v>
      </c>
      <c r="CB11" s="407">
        <v>0</v>
      </c>
      <c r="CC11" s="407">
        <v>0</v>
      </c>
      <c r="CD11" s="407">
        <v>0</v>
      </c>
      <c r="CE11" s="292">
        <v>0</v>
      </c>
      <c r="CF11" s="215"/>
      <c r="CG11" s="291">
        <v>0</v>
      </c>
      <c r="CH11" s="407">
        <v>1</v>
      </c>
      <c r="CI11" s="407">
        <v>1</v>
      </c>
      <c r="CJ11" s="407">
        <v>-1</v>
      </c>
      <c r="CK11" s="407">
        <v>0</v>
      </c>
      <c r="CL11" s="407">
        <v>0</v>
      </c>
      <c r="CM11" s="292">
        <v>0</v>
      </c>
      <c r="CN11" s="290"/>
      <c r="CO11" s="291">
        <v>0</v>
      </c>
      <c r="CP11" s="407">
        <v>0</v>
      </c>
      <c r="CQ11" s="407">
        <v>0</v>
      </c>
      <c r="CR11" s="407">
        <v>0</v>
      </c>
      <c r="CS11" s="407">
        <v>0</v>
      </c>
      <c r="CT11" s="407">
        <v>0</v>
      </c>
      <c r="CU11" s="292">
        <v>0</v>
      </c>
      <c r="CV11" s="290"/>
      <c r="CW11" s="291">
        <v>0</v>
      </c>
      <c r="CX11" s="407">
        <v>0</v>
      </c>
      <c r="CY11" s="407"/>
      <c r="CZ11" s="407">
        <v>0</v>
      </c>
      <c r="DA11" s="407"/>
      <c r="DB11" s="407">
        <v>0</v>
      </c>
      <c r="DC11" s="292"/>
      <c r="DD11" s="290"/>
      <c r="DE11" s="291">
        <v>0</v>
      </c>
      <c r="DF11" s="407">
        <v>0</v>
      </c>
      <c r="DG11" s="407">
        <v>0</v>
      </c>
      <c r="DH11" s="407">
        <v>0</v>
      </c>
      <c r="DI11" s="407">
        <v>0</v>
      </c>
      <c r="DJ11" s="407">
        <v>0</v>
      </c>
      <c r="DK11" s="292">
        <v>0</v>
      </c>
      <c r="DL11" s="290"/>
      <c r="DM11" s="291">
        <v>-4</v>
      </c>
      <c r="DN11" s="407">
        <v>-3</v>
      </c>
      <c r="DO11" s="407">
        <v>-7</v>
      </c>
      <c r="DP11" s="407">
        <v>0</v>
      </c>
      <c r="DQ11" s="407">
        <v>-7</v>
      </c>
      <c r="DR11" s="407">
        <v>-6628</v>
      </c>
      <c r="DS11" s="292">
        <v>-6635</v>
      </c>
      <c r="DT11" s="290"/>
      <c r="DU11" s="291">
        <v>-4</v>
      </c>
      <c r="DV11" s="407">
        <v>-4</v>
      </c>
      <c r="DW11" s="407">
        <v>-8</v>
      </c>
      <c r="DX11" s="407">
        <v>-4</v>
      </c>
      <c r="DY11" s="407">
        <v>-12</v>
      </c>
      <c r="DZ11" s="407">
        <v>-9505</v>
      </c>
      <c r="EA11" s="292">
        <v>-9517</v>
      </c>
      <c r="EB11" s="290"/>
      <c r="EC11" s="291">
        <v>-3</v>
      </c>
      <c r="ED11" s="407">
        <v>-5</v>
      </c>
      <c r="EE11" s="407">
        <v>-8</v>
      </c>
      <c r="EF11" s="407">
        <v>-4</v>
      </c>
      <c r="EG11" s="407">
        <v>-12</v>
      </c>
      <c r="EH11" s="407">
        <v>-3</v>
      </c>
      <c r="EI11" s="292">
        <v>-15</v>
      </c>
      <c r="EJ11" s="290"/>
      <c r="EK11" s="291">
        <v>48</v>
      </c>
      <c r="EL11" s="407">
        <v>-4</v>
      </c>
      <c r="EM11" s="407">
        <v>-7</v>
      </c>
      <c r="EN11" s="407">
        <v>-6</v>
      </c>
      <c r="EO11" s="407">
        <v>-13</v>
      </c>
      <c r="EP11" s="407">
        <v>-5</v>
      </c>
      <c r="EQ11" s="292">
        <v>-18</v>
      </c>
      <c r="ER11" s="290"/>
      <c r="ES11" s="291">
        <v>54</v>
      </c>
      <c r="ET11" s="407">
        <v>54</v>
      </c>
      <c r="EU11" s="407">
        <v>108</v>
      </c>
      <c r="EV11" s="407">
        <v>53</v>
      </c>
      <c r="EW11" s="407">
        <v>161</v>
      </c>
      <c r="EX11" s="407">
        <v>46</v>
      </c>
      <c r="EY11" s="292">
        <v>129</v>
      </c>
      <c r="EZ11" s="290"/>
      <c r="FA11" s="291">
        <v>18</v>
      </c>
      <c r="FB11" s="407">
        <v>35</v>
      </c>
      <c r="FC11" s="407">
        <v>53</v>
      </c>
      <c r="FD11" s="407">
        <v>33</v>
      </c>
      <c r="FE11" s="292">
        <v>86</v>
      </c>
    </row>
    <row r="12" spans="1:161" s="14" customFormat="1" x14ac:dyDescent="0.25">
      <c r="A12" s="12" t="s">
        <v>12</v>
      </c>
      <c r="B12" s="347">
        <v>0</v>
      </c>
      <c r="C12" s="12"/>
      <c r="D12" s="371">
        <v>0</v>
      </c>
      <c r="E12" s="454">
        <v>0</v>
      </c>
      <c r="F12" s="454">
        <v>0</v>
      </c>
      <c r="G12" s="454">
        <v>0</v>
      </c>
      <c r="H12" s="454">
        <v>0</v>
      </c>
      <c r="I12" s="454">
        <v>0</v>
      </c>
      <c r="J12" s="372">
        <v>0</v>
      </c>
      <c r="K12" s="12"/>
      <c r="L12" s="371">
        <v>0</v>
      </c>
      <c r="M12" s="454">
        <v>0</v>
      </c>
      <c r="N12" s="454">
        <v>0</v>
      </c>
      <c r="O12" s="454">
        <v>0</v>
      </c>
      <c r="P12" s="454">
        <v>0</v>
      </c>
      <c r="Q12" s="454">
        <v>0</v>
      </c>
      <c r="R12" s="372">
        <v>0</v>
      </c>
      <c r="S12" s="12"/>
      <c r="T12" s="371">
        <v>0</v>
      </c>
      <c r="U12" s="454">
        <f t="shared" si="0"/>
        <v>0</v>
      </c>
      <c r="V12" s="454">
        <v>0</v>
      </c>
      <c r="W12" s="454">
        <f t="shared" si="0"/>
        <v>0</v>
      </c>
      <c r="X12" s="454">
        <v>0</v>
      </c>
      <c r="Y12" s="454">
        <f t="shared" si="0"/>
        <v>0</v>
      </c>
      <c r="Z12" s="21">
        <v>0</v>
      </c>
      <c r="AA12" s="274"/>
      <c r="AB12" s="371">
        <v>0</v>
      </c>
      <c r="AC12" s="454">
        <f t="shared" si="1"/>
        <v>0</v>
      </c>
      <c r="AD12" s="406">
        <v>0</v>
      </c>
      <c r="AE12" s="406">
        <f t="shared" si="2"/>
        <v>0</v>
      </c>
      <c r="AF12" s="406">
        <v>0</v>
      </c>
      <c r="AG12" s="406">
        <v>0</v>
      </c>
      <c r="AH12" s="21">
        <v>0</v>
      </c>
      <c r="AI12" s="406"/>
      <c r="AJ12" s="12" t="s">
        <v>12</v>
      </c>
      <c r="AK12" s="25">
        <v>0</v>
      </c>
      <c r="AL12" s="406">
        <v>0</v>
      </c>
      <c r="AM12" s="406"/>
      <c r="AN12" s="406">
        <v>0</v>
      </c>
      <c r="AO12" s="406">
        <v>0</v>
      </c>
      <c r="AP12" s="406">
        <f t="shared" si="3"/>
        <v>0</v>
      </c>
      <c r="AQ12" s="21">
        <v>0</v>
      </c>
      <c r="AR12" s="12"/>
      <c r="AS12" s="25">
        <v>0</v>
      </c>
      <c r="AT12" s="406">
        <v>0</v>
      </c>
      <c r="AU12" s="406"/>
      <c r="AV12" s="406">
        <v>0</v>
      </c>
      <c r="AW12" s="406">
        <v>0</v>
      </c>
      <c r="AX12" s="406">
        <v>0</v>
      </c>
      <c r="AY12" s="21">
        <v>0</v>
      </c>
      <c r="AZ12" s="406"/>
      <c r="BA12" s="25">
        <v>0</v>
      </c>
      <c r="BB12" s="406">
        <v>0</v>
      </c>
      <c r="BC12" s="406">
        <v>0</v>
      </c>
      <c r="BD12" s="406">
        <v>0</v>
      </c>
      <c r="BE12" s="406">
        <v>0</v>
      </c>
      <c r="BF12" s="406">
        <v>0</v>
      </c>
      <c r="BG12" s="21">
        <v>0</v>
      </c>
      <c r="BH12" s="12"/>
      <c r="BI12" s="25">
        <v>0</v>
      </c>
      <c r="BJ12" s="406">
        <v>0</v>
      </c>
      <c r="BK12" s="406"/>
      <c r="BL12" s="406">
        <v>0</v>
      </c>
      <c r="BM12" s="406"/>
      <c r="BN12" s="406">
        <v>0</v>
      </c>
      <c r="BO12" s="21">
        <v>0</v>
      </c>
      <c r="BP12" s="12"/>
      <c r="BQ12" s="25">
        <v>0</v>
      </c>
      <c r="BR12" s="406">
        <v>0</v>
      </c>
      <c r="BS12" s="406"/>
      <c r="BT12" s="406">
        <v>0</v>
      </c>
      <c r="BU12" s="406"/>
      <c r="BV12" s="406">
        <v>0</v>
      </c>
      <c r="BW12" s="21"/>
      <c r="BX12" s="12"/>
      <c r="BY12" s="25">
        <v>0</v>
      </c>
      <c r="BZ12" s="406">
        <v>0</v>
      </c>
      <c r="CA12" s="406">
        <v>0</v>
      </c>
      <c r="CB12" s="406">
        <v>0</v>
      </c>
      <c r="CC12" s="406">
        <v>0</v>
      </c>
      <c r="CD12" s="406">
        <v>0</v>
      </c>
      <c r="CE12" s="21"/>
      <c r="CF12" s="12"/>
      <c r="CG12" s="25">
        <v>0</v>
      </c>
      <c r="CH12" s="406">
        <v>-1</v>
      </c>
      <c r="CI12" s="406">
        <v>-1</v>
      </c>
      <c r="CJ12" s="406">
        <v>1</v>
      </c>
      <c r="CK12" s="406">
        <v>0</v>
      </c>
      <c r="CL12" s="406">
        <v>0</v>
      </c>
      <c r="CM12" s="21">
        <v>0</v>
      </c>
      <c r="CN12" s="20"/>
      <c r="CO12" s="25">
        <v>0</v>
      </c>
      <c r="CP12" s="406">
        <v>0</v>
      </c>
      <c r="CQ12" s="406">
        <v>0</v>
      </c>
      <c r="CR12" s="406">
        <v>0</v>
      </c>
      <c r="CS12" s="406">
        <v>0</v>
      </c>
      <c r="CT12" s="406">
        <v>0</v>
      </c>
      <c r="CU12" s="21">
        <v>0</v>
      </c>
      <c r="CV12" s="20"/>
      <c r="CW12" s="25"/>
      <c r="CX12" s="406">
        <v>0</v>
      </c>
      <c r="CY12" s="406"/>
      <c r="CZ12" s="406">
        <v>0</v>
      </c>
      <c r="DA12" s="406"/>
      <c r="DB12" s="406">
        <v>0</v>
      </c>
      <c r="DC12" s="21"/>
      <c r="DD12" s="20"/>
      <c r="DE12" s="25">
        <v>0</v>
      </c>
      <c r="DF12" s="406">
        <v>0</v>
      </c>
      <c r="DG12" s="406">
        <v>0</v>
      </c>
      <c r="DH12" s="406">
        <v>0</v>
      </c>
      <c r="DI12" s="406">
        <v>0</v>
      </c>
      <c r="DJ12" s="406">
        <v>0</v>
      </c>
      <c r="DK12" s="21">
        <v>0</v>
      </c>
      <c r="DL12" s="20"/>
      <c r="DM12" s="25">
        <v>4</v>
      </c>
      <c r="DN12" s="406">
        <v>3</v>
      </c>
      <c r="DO12" s="406">
        <v>7</v>
      </c>
      <c r="DP12" s="406">
        <v>0</v>
      </c>
      <c r="DQ12" s="406">
        <v>7</v>
      </c>
      <c r="DR12" s="406">
        <v>6628</v>
      </c>
      <c r="DS12" s="21">
        <v>6635</v>
      </c>
      <c r="DT12" s="20"/>
      <c r="DU12" s="25">
        <v>4</v>
      </c>
      <c r="DV12" s="406">
        <v>4</v>
      </c>
      <c r="DW12" s="406">
        <v>8</v>
      </c>
      <c r="DX12" s="406">
        <v>4</v>
      </c>
      <c r="DY12" s="406">
        <v>12</v>
      </c>
      <c r="DZ12" s="406">
        <v>3</v>
      </c>
      <c r="EA12" s="21">
        <v>15</v>
      </c>
      <c r="EB12" s="20"/>
      <c r="EC12" s="25">
        <v>3</v>
      </c>
      <c r="ED12" s="406">
        <v>5</v>
      </c>
      <c r="EE12" s="406">
        <v>8</v>
      </c>
      <c r="EF12" s="406">
        <v>4</v>
      </c>
      <c r="EG12" s="406">
        <v>12</v>
      </c>
      <c r="EH12" s="406">
        <v>3</v>
      </c>
      <c r="EI12" s="21">
        <v>15</v>
      </c>
      <c r="EJ12" s="20"/>
      <c r="EK12" s="25">
        <v>-48</v>
      </c>
      <c r="EL12" s="406">
        <v>4</v>
      </c>
      <c r="EM12" s="406">
        <v>7</v>
      </c>
      <c r="EN12" s="406">
        <v>6</v>
      </c>
      <c r="EO12" s="406">
        <v>13</v>
      </c>
      <c r="EP12" s="406">
        <v>5</v>
      </c>
      <c r="EQ12" s="21">
        <v>18</v>
      </c>
      <c r="ER12" s="20"/>
      <c r="ES12" s="25">
        <v>-54</v>
      </c>
      <c r="ET12" s="406">
        <v>-54</v>
      </c>
      <c r="EU12" s="406">
        <v>-108</v>
      </c>
      <c r="EV12" s="406">
        <v>-52</v>
      </c>
      <c r="EW12" s="406">
        <v>-160</v>
      </c>
      <c r="EX12" s="406">
        <v>-47</v>
      </c>
      <c r="EY12" s="21">
        <v>-129</v>
      </c>
      <c r="EZ12" s="20"/>
      <c r="FA12" s="25">
        <v>-18</v>
      </c>
      <c r="FB12" s="406">
        <v>-35</v>
      </c>
      <c r="FC12" s="406">
        <v>-53</v>
      </c>
      <c r="FD12" s="406">
        <v>-33</v>
      </c>
      <c r="FE12" s="21">
        <v>-86</v>
      </c>
    </row>
    <row r="13" spans="1:161" ht="15" customHeight="1" outlineLevel="1" x14ac:dyDescent="0.25">
      <c r="A13" s="6" t="s">
        <v>13</v>
      </c>
      <c r="B13" s="349">
        <v>12982.334999999999</v>
      </c>
      <c r="C13" s="6"/>
      <c r="D13" s="379">
        <v>4613.7039999999997</v>
      </c>
      <c r="E13" s="542">
        <v>13151.721</v>
      </c>
      <c r="F13" s="542">
        <v>17765.424999999999</v>
      </c>
      <c r="G13" s="542">
        <v>32615.441999999999</v>
      </c>
      <c r="H13" s="542">
        <v>50380.866999999998</v>
      </c>
      <c r="I13" s="524">
        <v>29342.833999999999</v>
      </c>
      <c r="J13" s="544">
        <v>79723.701000000001</v>
      </c>
      <c r="K13" s="6"/>
      <c r="L13" s="636">
        <v>4586</v>
      </c>
      <c r="M13" s="542">
        <v>3947</v>
      </c>
      <c r="N13" s="542">
        <v>8532</v>
      </c>
      <c r="O13" s="542">
        <v>5853</v>
      </c>
      <c r="P13" s="542">
        <v>14385</v>
      </c>
      <c r="Q13" s="524">
        <v>4991</v>
      </c>
      <c r="R13" s="544">
        <v>19376</v>
      </c>
      <c r="S13" s="6"/>
      <c r="T13" s="379">
        <v>4793</v>
      </c>
      <c r="U13" s="524">
        <f t="shared" si="0"/>
        <v>4504</v>
      </c>
      <c r="V13" s="524">
        <v>9297</v>
      </c>
      <c r="W13" s="524">
        <f t="shared" si="0"/>
        <v>3734</v>
      </c>
      <c r="X13" s="549">
        <f>12637+394</f>
        <v>13031</v>
      </c>
      <c r="Y13" s="524">
        <f t="shared" si="0"/>
        <v>5191</v>
      </c>
      <c r="Z13" s="544">
        <v>18222</v>
      </c>
      <c r="AA13" s="274"/>
      <c r="AB13" s="379">
        <v>3617</v>
      </c>
      <c r="AC13" s="524">
        <f t="shared" si="1"/>
        <v>3455</v>
      </c>
      <c r="AD13" s="549">
        <v>7072</v>
      </c>
      <c r="AE13" s="549">
        <f t="shared" si="2"/>
        <v>3942</v>
      </c>
      <c r="AF13" s="549">
        <v>11014</v>
      </c>
      <c r="AG13" s="549">
        <f t="shared" ref="AG13:AG18" si="4">AH13-AF13</f>
        <v>5331</v>
      </c>
      <c r="AH13" s="544">
        <v>16345</v>
      </c>
      <c r="AI13" s="406"/>
      <c r="AJ13" s="6" t="s">
        <v>13</v>
      </c>
      <c r="AK13" s="27">
        <v>3965</v>
      </c>
      <c r="AL13" s="408">
        <v>3982</v>
      </c>
      <c r="AM13" s="408">
        <v>7947</v>
      </c>
      <c r="AN13" s="408">
        <v>3746</v>
      </c>
      <c r="AO13" s="408">
        <v>11693</v>
      </c>
      <c r="AP13" s="408">
        <f t="shared" si="3"/>
        <v>5630</v>
      </c>
      <c r="AQ13" s="29">
        <v>17323</v>
      </c>
      <c r="AR13" s="6"/>
      <c r="AS13" s="27">
        <v>3297</v>
      </c>
      <c r="AT13" s="408">
        <v>3638</v>
      </c>
      <c r="AU13" s="408">
        <v>6935</v>
      </c>
      <c r="AV13" s="408">
        <v>3039</v>
      </c>
      <c r="AW13" s="408">
        <v>9974</v>
      </c>
      <c r="AX13" s="408">
        <v>4227</v>
      </c>
      <c r="AY13" s="29">
        <v>14201</v>
      </c>
      <c r="AZ13" s="408"/>
      <c r="BA13" s="27">
        <v>3295</v>
      </c>
      <c r="BB13" s="408">
        <v>3114</v>
      </c>
      <c r="BC13" s="408">
        <v>6409</v>
      </c>
      <c r="BD13" s="408">
        <v>3271</v>
      </c>
      <c r="BE13" s="408">
        <v>9680</v>
      </c>
      <c r="BF13" s="408">
        <v>5187</v>
      </c>
      <c r="BG13" s="29">
        <v>14867</v>
      </c>
      <c r="BH13" s="6"/>
      <c r="BI13" s="27">
        <v>3593</v>
      </c>
      <c r="BJ13" s="408">
        <v>3984</v>
      </c>
      <c r="BK13" s="408">
        <v>7577</v>
      </c>
      <c r="BL13" s="408">
        <v>2714</v>
      </c>
      <c r="BM13" s="408">
        <v>10291</v>
      </c>
      <c r="BN13" s="408">
        <v>3966</v>
      </c>
      <c r="BO13" s="29">
        <v>14257</v>
      </c>
      <c r="BP13" s="6"/>
      <c r="BQ13" s="27">
        <v>3519</v>
      </c>
      <c r="BR13" s="408">
        <v>2684</v>
      </c>
      <c r="BS13" s="408">
        <v>6203</v>
      </c>
      <c r="BT13" s="408">
        <v>2779</v>
      </c>
      <c r="BU13" s="408">
        <v>8982</v>
      </c>
      <c r="BV13" s="408">
        <v>3706</v>
      </c>
      <c r="BW13" s="29">
        <v>12688</v>
      </c>
      <c r="BX13" s="6"/>
      <c r="BY13" s="27">
        <v>3591</v>
      </c>
      <c r="BZ13" s="408">
        <v>2314</v>
      </c>
      <c r="CA13" s="408">
        <v>5905</v>
      </c>
      <c r="CB13" s="408">
        <v>2710</v>
      </c>
      <c r="CC13" s="408">
        <v>8615</v>
      </c>
      <c r="CD13" s="408">
        <v>3679</v>
      </c>
      <c r="CE13" s="29">
        <v>12294</v>
      </c>
      <c r="CF13" s="6"/>
      <c r="CG13" s="27">
        <v>3213</v>
      </c>
      <c r="CH13" s="408">
        <v>2209</v>
      </c>
      <c r="CI13" s="408">
        <v>5422</v>
      </c>
      <c r="CJ13" s="408">
        <v>2095</v>
      </c>
      <c r="CK13" s="408">
        <v>7517</v>
      </c>
      <c r="CL13" s="408">
        <v>3135</v>
      </c>
      <c r="CM13" s="29">
        <v>10652</v>
      </c>
      <c r="CN13" s="28"/>
      <c r="CO13" s="27">
        <v>3106</v>
      </c>
      <c r="CP13" s="408">
        <v>2829</v>
      </c>
      <c r="CQ13" s="408">
        <v>5935</v>
      </c>
      <c r="CR13" s="408">
        <v>1925</v>
      </c>
      <c r="CS13" s="408">
        <v>7860</v>
      </c>
      <c r="CT13" s="408">
        <v>3323</v>
      </c>
      <c r="CU13" s="29">
        <v>11183</v>
      </c>
      <c r="CV13" s="28"/>
      <c r="CW13" s="27">
        <v>9049</v>
      </c>
      <c r="CX13" s="408">
        <v>11355</v>
      </c>
      <c r="CY13" s="408">
        <v>20404</v>
      </c>
      <c r="CZ13" s="408">
        <v>-58960</v>
      </c>
      <c r="DA13" s="408">
        <v>-38556</v>
      </c>
      <c r="DB13" s="408">
        <v>3604</v>
      </c>
      <c r="DC13" s="29">
        <v>-34952</v>
      </c>
      <c r="DD13" s="28"/>
      <c r="DE13" s="27">
        <v>1355</v>
      </c>
      <c r="DF13" s="408">
        <v>4900</v>
      </c>
      <c r="DG13" s="408">
        <v>6254</v>
      </c>
      <c r="DH13" s="408">
        <v>7204</v>
      </c>
      <c r="DI13" s="408">
        <v>13458</v>
      </c>
      <c r="DJ13" s="408">
        <v>12253</v>
      </c>
      <c r="DK13" s="29">
        <v>25711</v>
      </c>
      <c r="DL13" s="28"/>
      <c r="DM13" s="27">
        <v>5242</v>
      </c>
      <c r="DN13" s="408">
        <v>3237</v>
      </c>
      <c r="DO13" s="408">
        <v>8479</v>
      </c>
      <c r="DP13" s="408">
        <v>2839</v>
      </c>
      <c r="DQ13" s="408">
        <v>11318</v>
      </c>
      <c r="DR13" s="408">
        <v>14535</v>
      </c>
      <c r="DS13" s="29">
        <v>25853</v>
      </c>
      <c r="DT13" s="28"/>
      <c r="DU13" s="27">
        <v>16602</v>
      </c>
      <c r="DV13" s="408">
        <v>6734</v>
      </c>
      <c r="DW13" s="408">
        <v>23336</v>
      </c>
      <c r="DX13" s="408">
        <v>3337</v>
      </c>
      <c r="DY13" s="408">
        <v>26673</v>
      </c>
      <c r="DZ13" s="408">
        <v>14511</v>
      </c>
      <c r="EA13" s="29">
        <v>41184</v>
      </c>
      <c r="EB13" s="28"/>
      <c r="EC13" s="27">
        <v>-5753</v>
      </c>
      <c r="ED13" s="408">
        <v>1669</v>
      </c>
      <c r="EE13" s="408">
        <v>-4084</v>
      </c>
      <c r="EF13" s="408">
        <v>1659</v>
      </c>
      <c r="EG13" s="408">
        <v>-2425</v>
      </c>
      <c r="EH13" s="408">
        <v>9355</v>
      </c>
      <c r="EI13" s="29">
        <v>6930</v>
      </c>
      <c r="EJ13" s="28"/>
      <c r="EK13" s="27">
        <v>4938</v>
      </c>
      <c r="EL13" s="408">
        <v>6288</v>
      </c>
      <c r="EM13" s="408">
        <v>10855</v>
      </c>
      <c r="EN13" s="408">
        <v>1656</v>
      </c>
      <c r="EO13" s="408">
        <v>12511</v>
      </c>
      <c r="EP13" s="408">
        <v>3400</v>
      </c>
      <c r="EQ13" s="29">
        <v>15911</v>
      </c>
      <c r="ER13" s="28"/>
      <c r="ES13" s="27">
        <v>3527</v>
      </c>
      <c r="ET13" s="408">
        <v>2737</v>
      </c>
      <c r="EU13" s="408">
        <v>6264</v>
      </c>
      <c r="EV13" s="408">
        <v>3678</v>
      </c>
      <c r="EW13" s="408">
        <v>9942</v>
      </c>
      <c r="EX13" s="408">
        <v>4938</v>
      </c>
      <c r="EY13" s="29">
        <v>14955</v>
      </c>
      <c r="EZ13" s="28"/>
      <c r="FA13" s="27">
        <v>1690</v>
      </c>
      <c r="FB13" s="406">
        <v>9489</v>
      </c>
      <c r="FC13" s="408">
        <v>11179</v>
      </c>
      <c r="FD13" s="408">
        <v>18204</v>
      </c>
      <c r="FE13" s="29">
        <v>29383</v>
      </c>
    </row>
    <row r="14" spans="1:161" ht="15" customHeight="1" outlineLevel="1" x14ac:dyDescent="0.25">
      <c r="A14" s="6" t="s">
        <v>14</v>
      </c>
      <c r="B14" s="349">
        <v>14371</v>
      </c>
      <c r="C14" s="6"/>
      <c r="D14" s="379">
        <v>17113</v>
      </c>
      <c r="E14" s="542">
        <v>17348</v>
      </c>
      <c r="F14" s="542">
        <v>34461</v>
      </c>
      <c r="G14" s="542">
        <v>14650</v>
      </c>
      <c r="H14" s="542">
        <v>49111</v>
      </c>
      <c r="I14" s="524">
        <v>-37736</v>
      </c>
      <c r="J14" s="544">
        <v>11375</v>
      </c>
      <c r="K14" s="6"/>
      <c r="L14" s="636">
        <v>16442</v>
      </c>
      <c r="M14" s="542">
        <v>16989</v>
      </c>
      <c r="N14" s="542">
        <v>33431</v>
      </c>
      <c r="O14" s="542">
        <v>16883</v>
      </c>
      <c r="P14" s="542">
        <v>50314</v>
      </c>
      <c r="Q14" s="524">
        <v>17703</v>
      </c>
      <c r="R14" s="544">
        <v>68017</v>
      </c>
      <c r="S14" s="6"/>
      <c r="T14" s="379">
        <v>14645</v>
      </c>
      <c r="U14" s="524">
        <f t="shared" si="0"/>
        <v>15170</v>
      </c>
      <c r="V14" s="524">
        <v>29815</v>
      </c>
      <c r="W14" s="524">
        <f t="shared" si="0"/>
        <v>16846</v>
      </c>
      <c r="X14" s="549">
        <v>46661</v>
      </c>
      <c r="Y14" s="524">
        <f t="shared" si="0"/>
        <v>15284</v>
      </c>
      <c r="Z14" s="544">
        <v>61945</v>
      </c>
      <c r="AA14" s="274"/>
      <c r="AB14" s="379">
        <v>12935</v>
      </c>
      <c r="AC14" s="524">
        <f t="shared" si="1"/>
        <v>13402</v>
      </c>
      <c r="AD14" s="549">
        <v>26337</v>
      </c>
      <c r="AE14" s="549">
        <f t="shared" si="2"/>
        <v>14842</v>
      </c>
      <c r="AF14" s="549">
        <v>41179</v>
      </c>
      <c r="AG14" s="549">
        <f t="shared" si="4"/>
        <v>15425</v>
      </c>
      <c r="AH14" s="544">
        <v>56604</v>
      </c>
      <c r="AI14" s="406"/>
      <c r="AJ14" s="6" t="s">
        <v>14</v>
      </c>
      <c r="AK14" s="27">
        <v>9485</v>
      </c>
      <c r="AL14" s="408">
        <v>9746</v>
      </c>
      <c r="AM14" s="408">
        <v>19231</v>
      </c>
      <c r="AN14" s="408">
        <v>10902</v>
      </c>
      <c r="AO14" s="408">
        <v>30133</v>
      </c>
      <c r="AP14" s="408">
        <f t="shared" si="3"/>
        <v>11372</v>
      </c>
      <c r="AQ14" s="29">
        <v>41505</v>
      </c>
      <c r="AR14" s="6"/>
      <c r="AS14" s="27">
        <v>7432</v>
      </c>
      <c r="AT14" s="408">
        <v>3873</v>
      </c>
      <c r="AU14" s="408">
        <v>11305</v>
      </c>
      <c r="AV14" s="408">
        <v>8346</v>
      </c>
      <c r="AW14" s="408">
        <v>19651</v>
      </c>
      <c r="AX14" s="408">
        <v>9751</v>
      </c>
      <c r="AY14" s="29">
        <v>29402</v>
      </c>
      <c r="AZ14" s="408"/>
      <c r="BA14" s="27">
        <v>9769</v>
      </c>
      <c r="BB14" s="408">
        <v>7334</v>
      </c>
      <c r="BC14" s="408">
        <v>17103</v>
      </c>
      <c r="BD14" s="408">
        <v>7686</v>
      </c>
      <c r="BE14" s="408">
        <v>24789</v>
      </c>
      <c r="BF14" s="408">
        <v>7491</v>
      </c>
      <c r="BG14" s="29">
        <v>32280</v>
      </c>
      <c r="BH14" s="6"/>
      <c r="BI14" s="27">
        <v>9543</v>
      </c>
      <c r="BJ14" s="408">
        <v>9611</v>
      </c>
      <c r="BK14" s="408">
        <v>19154</v>
      </c>
      <c r="BL14" s="408">
        <v>9580</v>
      </c>
      <c r="BM14" s="408">
        <v>28734</v>
      </c>
      <c r="BN14" s="408">
        <v>10052</v>
      </c>
      <c r="BO14" s="29">
        <v>38786</v>
      </c>
      <c r="BP14" s="6"/>
      <c r="BQ14" s="27">
        <v>6761</v>
      </c>
      <c r="BR14" s="408">
        <v>7055</v>
      </c>
      <c r="BS14" s="408">
        <v>13816</v>
      </c>
      <c r="BT14" s="408">
        <v>7065</v>
      </c>
      <c r="BU14" s="408">
        <v>20881</v>
      </c>
      <c r="BV14" s="408">
        <v>7172</v>
      </c>
      <c r="BW14" s="29">
        <v>28053</v>
      </c>
      <c r="BX14" s="6"/>
      <c r="BY14" s="27">
        <v>5535</v>
      </c>
      <c r="BZ14" s="408">
        <v>5751</v>
      </c>
      <c r="CA14" s="408">
        <v>11286</v>
      </c>
      <c r="CB14" s="408">
        <v>7514</v>
      </c>
      <c r="CC14" s="408">
        <v>18800</v>
      </c>
      <c r="CD14" s="408">
        <v>6923</v>
      </c>
      <c r="CE14" s="29">
        <v>25723</v>
      </c>
      <c r="CF14" s="6"/>
      <c r="CG14" s="27">
        <v>5896</v>
      </c>
      <c r="CH14" s="408">
        <v>5828</v>
      </c>
      <c r="CI14" s="408">
        <v>11724</v>
      </c>
      <c r="CJ14" s="408">
        <v>5538</v>
      </c>
      <c r="CK14" s="408">
        <v>17262</v>
      </c>
      <c r="CL14" s="408">
        <v>5221</v>
      </c>
      <c r="CM14" s="29">
        <v>22483</v>
      </c>
      <c r="CN14" s="28"/>
      <c r="CO14" s="27">
        <v>4022</v>
      </c>
      <c r="CP14" s="408">
        <v>4311</v>
      </c>
      <c r="CQ14" s="408">
        <v>8333</v>
      </c>
      <c r="CR14" s="408">
        <v>5163</v>
      </c>
      <c r="CS14" s="408">
        <v>13496</v>
      </c>
      <c r="CT14" s="408">
        <v>6126</v>
      </c>
      <c r="CU14" s="29">
        <v>19622</v>
      </c>
      <c r="CV14" s="28"/>
      <c r="CW14" s="27">
        <v>3478</v>
      </c>
      <c r="CX14" s="408">
        <v>3597</v>
      </c>
      <c r="CY14" s="408">
        <v>7075</v>
      </c>
      <c r="CZ14" s="408">
        <v>4121</v>
      </c>
      <c r="DA14" s="408">
        <v>11196</v>
      </c>
      <c r="DB14" s="408">
        <v>4278</v>
      </c>
      <c r="DC14" s="29">
        <v>15474</v>
      </c>
      <c r="DD14" s="28"/>
      <c r="DE14" s="27">
        <v>3819</v>
      </c>
      <c r="DF14" s="408">
        <v>3496</v>
      </c>
      <c r="DG14" s="408">
        <v>7315</v>
      </c>
      <c r="DH14" s="408">
        <v>3591</v>
      </c>
      <c r="DI14" s="408">
        <v>10906</v>
      </c>
      <c r="DJ14" s="408">
        <v>3502</v>
      </c>
      <c r="DK14" s="29">
        <v>14408</v>
      </c>
      <c r="DL14" s="28"/>
      <c r="DM14" s="27">
        <v>2705</v>
      </c>
      <c r="DN14" s="408">
        <v>2910</v>
      </c>
      <c r="DO14" s="408">
        <v>5615</v>
      </c>
      <c r="DP14" s="408">
        <v>4153</v>
      </c>
      <c r="DQ14" s="408">
        <v>9768</v>
      </c>
      <c r="DR14" s="408">
        <v>3864</v>
      </c>
      <c r="DS14" s="29">
        <v>13632</v>
      </c>
      <c r="DT14" s="28"/>
      <c r="DU14" s="27">
        <v>2815</v>
      </c>
      <c r="DV14" s="408">
        <v>2975</v>
      </c>
      <c r="DW14" s="408">
        <v>5790</v>
      </c>
      <c r="DX14" s="408">
        <v>3288</v>
      </c>
      <c r="DY14" s="408">
        <v>9078</v>
      </c>
      <c r="DZ14" s="408">
        <v>3148</v>
      </c>
      <c r="EA14" s="29">
        <v>12226</v>
      </c>
      <c r="EB14" s="28"/>
      <c r="EC14" s="27">
        <v>2274</v>
      </c>
      <c r="ED14" s="408">
        <v>2625</v>
      </c>
      <c r="EE14" s="408">
        <v>4899</v>
      </c>
      <c r="EF14" s="408">
        <v>2504</v>
      </c>
      <c r="EG14" s="408">
        <v>7403</v>
      </c>
      <c r="EH14" s="408">
        <v>3274</v>
      </c>
      <c r="EI14" s="29">
        <v>10677</v>
      </c>
      <c r="EJ14" s="28"/>
      <c r="EK14" s="27">
        <v>2662</v>
      </c>
      <c r="EL14" s="408">
        <v>2726</v>
      </c>
      <c r="EM14" s="408">
        <v>5389</v>
      </c>
      <c r="EN14" s="408">
        <v>2856</v>
      </c>
      <c r="EO14" s="408">
        <v>8245</v>
      </c>
      <c r="EP14" s="408">
        <v>2899</v>
      </c>
      <c r="EQ14" s="29">
        <v>11144</v>
      </c>
      <c r="ER14" s="28"/>
      <c r="ES14" s="27">
        <v>1558</v>
      </c>
      <c r="ET14" s="408">
        <v>1782</v>
      </c>
      <c r="EU14" s="408">
        <v>3340</v>
      </c>
      <c r="EV14" s="408">
        <v>1870</v>
      </c>
      <c r="EW14" s="408">
        <v>5210</v>
      </c>
      <c r="EX14" s="408">
        <v>2419</v>
      </c>
      <c r="EY14" s="29">
        <v>7632</v>
      </c>
      <c r="EZ14" s="28"/>
      <c r="FA14" s="27">
        <v>547</v>
      </c>
      <c r="FB14" s="406">
        <v>1252</v>
      </c>
      <c r="FC14" s="408">
        <v>1799</v>
      </c>
      <c r="FD14" s="408">
        <v>1225</v>
      </c>
      <c r="FE14" s="29">
        <v>3024</v>
      </c>
    </row>
    <row r="15" spans="1:161" ht="15" customHeight="1" outlineLevel="1" x14ac:dyDescent="0.25">
      <c r="A15" s="6" t="s">
        <v>15</v>
      </c>
      <c r="B15" s="350">
        <v>0</v>
      </c>
      <c r="C15" s="6"/>
      <c r="D15" s="368">
        <v>0</v>
      </c>
      <c r="E15" s="525">
        <v>0</v>
      </c>
      <c r="F15" s="525">
        <v>0</v>
      </c>
      <c r="G15" s="525">
        <v>0</v>
      </c>
      <c r="H15" s="525">
        <v>0</v>
      </c>
      <c r="I15" s="525">
        <v>0</v>
      </c>
      <c r="J15" s="544">
        <v>0</v>
      </c>
      <c r="K15" s="6"/>
      <c r="L15" s="782">
        <v>0</v>
      </c>
      <c r="M15" s="525">
        <v>0</v>
      </c>
      <c r="N15" s="525">
        <v>0</v>
      </c>
      <c r="O15" s="525">
        <v>0</v>
      </c>
      <c r="P15" s="525">
        <v>0</v>
      </c>
      <c r="Q15" s="525">
        <v>0</v>
      </c>
      <c r="R15" s="544">
        <v>0</v>
      </c>
      <c r="S15" s="6"/>
      <c r="T15" s="368">
        <v>0</v>
      </c>
      <c r="U15" s="525">
        <f t="shared" si="0"/>
        <v>0</v>
      </c>
      <c r="V15" s="525">
        <v>0</v>
      </c>
      <c r="W15" s="525">
        <f t="shared" si="0"/>
        <v>0</v>
      </c>
      <c r="X15" s="549">
        <v>0</v>
      </c>
      <c r="Y15" s="525">
        <f t="shared" si="0"/>
        <v>0</v>
      </c>
      <c r="Z15" s="544"/>
      <c r="AA15" s="274"/>
      <c r="AB15" s="368">
        <v>0</v>
      </c>
      <c r="AC15" s="525">
        <f t="shared" si="1"/>
        <v>0</v>
      </c>
      <c r="AD15" s="549">
        <v>0</v>
      </c>
      <c r="AE15" s="549">
        <f t="shared" si="2"/>
        <v>0</v>
      </c>
      <c r="AF15" s="549">
        <v>0</v>
      </c>
      <c r="AG15" s="549">
        <f t="shared" si="4"/>
        <v>0</v>
      </c>
      <c r="AH15" s="544">
        <v>0</v>
      </c>
      <c r="AI15" s="406"/>
      <c r="AJ15" s="6" t="s">
        <v>15</v>
      </c>
      <c r="AK15" s="24">
        <v>0</v>
      </c>
      <c r="AL15" s="405">
        <v>0</v>
      </c>
      <c r="AM15" s="405">
        <v>0</v>
      </c>
      <c r="AN15" s="405">
        <v>0</v>
      </c>
      <c r="AO15" s="405">
        <v>0</v>
      </c>
      <c r="AP15" s="405">
        <f t="shared" si="3"/>
        <v>0</v>
      </c>
      <c r="AQ15" s="23">
        <v>0</v>
      </c>
      <c r="AR15" s="6"/>
      <c r="AS15" s="24">
        <v>0</v>
      </c>
      <c r="AT15" s="405">
        <v>0</v>
      </c>
      <c r="AU15" s="405">
        <v>0</v>
      </c>
      <c r="AV15" s="405">
        <v>0</v>
      </c>
      <c r="AW15" s="405">
        <v>0</v>
      </c>
      <c r="AX15" s="405">
        <v>0</v>
      </c>
      <c r="AY15" s="23">
        <v>0</v>
      </c>
      <c r="AZ15" s="405"/>
      <c r="BA15" s="24">
        <v>0</v>
      </c>
      <c r="BB15" s="405">
        <v>0</v>
      </c>
      <c r="BC15" s="405"/>
      <c r="BD15" s="405">
        <v>0</v>
      </c>
      <c r="BE15" s="405">
        <v>0</v>
      </c>
      <c r="BF15" s="405">
        <v>0</v>
      </c>
      <c r="BG15" s="23">
        <v>0</v>
      </c>
      <c r="BH15" s="6"/>
      <c r="BI15" s="24">
        <v>0</v>
      </c>
      <c r="BJ15" s="405">
        <v>0</v>
      </c>
      <c r="BK15" s="405">
        <v>0</v>
      </c>
      <c r="BL15" s="405">
        <v>-1</v>
      </c>
      <c r="BM15" s="405">
        <v>-1</v>
      </c>
      <c r="BN15" s="405">
        <v>2</v>
      </c>
      <c r="BO15" s="23">
        <v>1</v>
      </c>
      <c r="BP15" s="6"/>
      <c r="BQ15" s="24">
        <v>-1</v>
      </c>
      <c r="BR15" s="405">
        <v>1</v>
      </c>
      <c r="BS15" s="405">
        <v>0</v>
      </c>
      <c r="BT15" s="405">
        <v>0</v>
      </c>
      <c r="BU15" s="405">
        <v>0</v>
      </c>
      <c r="BV15" s="405">
        <v>1</v>
      </c>
      <c r="BW15" s="23">
        <v>1</v>
      </c>
      <c r="BX15" s="6"/>
      <c r="BY15" s="24">
        <v>-1</v>
      </c>
      <c r="BZ15" s="405">
        <v>1</v>
      </c>
      <c r="CA15" s="405">
        <v>0</v>
      </c>
      <c r="CB15" s="405">
        <v>1</v>
      </c>
      <c r="CC15" s="405">
        <v>1</v>
      </c>
      <c r="CD15" s="408">
        <v>-1</v>
      </c>
      <c r="CE15" s="23">
        <v>0</v>
      </c>
      <c r="CF15" s="6"/>
      <c r="CG15" s="24">
        <v>503</v>
      </c>
      <c r="CH15" s="405">
        <v>251</v>
      </c>
      <c r="CI15" s="405">
        <v>754</v>
      </c>
      <c r="CJ15" s="405">
        <v>1</v>
      </c>
      <c r="CK15" s="405">
        <v>755</v>
      </c>
      <c r="CL15" s="408">
        <v>0</v>
      </c>
      <c r="CM15" s="23">
        <v>755</v>
      </c>
      <c r="CN15" s="22"/>
      <c r="CO15" s="24">
        <v>-1</v>
      </c>
      <c r="CP15" s="405">
        <v>1</v>
      </c>
      <c r="CQ15" s="405">
        <v>0</v>
      </c>
      <c r="CR15" s="405">
        <v>-1</v>
      </c>
      <c r="CS15" s="405">
        <v>-1</v>
      </c>
      <c r="CT15" s="405">
        <v>500</v>
      </c>
      <c r="CU15" s="23">
        <v>499</v>
      </c>
      <c r="CV15" s="22"/>
      <c r="CW15" s="24">
        <v>64</v>
      </c>
      <c r="CX15" s="405">
        <v>74</v>
      </c>
      <c r="CY15" s="405">
        <v>138</v>
      </c>
      <c r="CZ15" s="405">
        <v>61</v>
      </c>
      <c r="DA15" s="405">
        <v>199</v>
      </c>
      <c r="DB15" s="405">
        <v>54</v>
      </c>
      <c r="DC15" s="23">
        <v>253</v>
      </c>
      <c r="DD15" s="22"/>
      <c r="DE15" s="24">
        <v>56</v>
      </c>
      <c r="DF15" s="405">
        <v>59</v>
      </c>
      <c r="DG15" s="405">
        <v>115</v>
      </c>
      <c r="DH15" s="405">
        <v>57</v>
      </c>
      <c r="DI15" s="405">
        <v>172</v>
      </c>
      <c r="DJ15" s="405">
        <v>55</v>
      </c>
      <c r="DK15" s="23">
        <v>227</v>
      </c>
      <c r="DL15" s="22"/>
      <c r="DM15" s="24">
        <v>1298</v>
      </c>
      <c r="DN15" s="405">
        <v>1300</v>
      </c>
      <c r="DO15" s="405">
        <v>2598</v>
      </c>
      <c r="DP15" s="405">
        <v>1298</v>
      </c>
      <c r="DQ15" s="405">
        <v>3896</v>
      </c>
      <c r="DR15" s="405">
        <v>-3667</v>
      </c>
      <c r="DS15" s="23">
        <v>229</v>
      </c>
      <c r="DT15" s="22"/>
      <c r="DU15" s="24">
        <v>1459</v>
      </c>
      <c r="DV15" s="405">
        <v>1379</v>
      </c>
      <c r="DW15" s="405">
        <v>2838</v>
      </c>
      <c r="DX15" s="405">
        <v>1298</v>
      </c>
      <c r="DY15" s="405">
        <v>4136</v>
      </c>
      <c r="DZ15" s="405">
        <v>1297</v>
      </c>
      <c r="EA15" s="23">
        <v>5433</v>
      </c>
      <c r="EB15" s="22"/>
      <c r="EC15" s="24">
        <v>1275</v>
      </c>
      <c r="ED15" s="405">
        <v>1322</v>
      </c>
      <c r="EE15" s="405">
        <v>2597</v>
      </c>
      <c r="EF15" s="405">
        <v>1297</v>
      </c>
      <c r="EG15" s="405">
        <v>3894</v>
      </c>
      <c r="EH15" s="405">
        <v>1459</v>
      </c>
      <c r="EI15" s="23">
        <v>5353</v>
      </c>
      <c r="EJ15" s="22"/>
      <c r="EK15" s="24">
        <v>1394</v>
      </c>
      <c r="EL15" s="405">
        <v>1200</v>
      </c>
      <c r="EM15" s="405">
        <v>2399</v>
      </c>
      <c r="EN15" s="405">
        <v>1199</v>
      </c>
      <c r="EO15" s="405">
        <v>3598</v>
      </c>
      <c r="EP15" s="405">
        <v>1274</v>
      </c>
      <c r="EQ15" s="23">
        <v>4872</v>
      </c>
      <c r="ER15" s="22"/>
      <c r="ES15" s="24">
        <v>1395</v>
      </c>
      <c r="ET15" s="405">
        <v>1395</v>
      </c>
      <c r="EU15" s="405">
        <v>2790</v>
      </c>
      <c r="EV15" s="405">
        <v>1408</v>
      </c>
      <c r="EW15" s="405">
        <v>4198</v>
      </c>
      <c r="EX15" s="405">
        <v>1382</v>
      </c>
      <c r="EY15" s="23">
        <v>5580</v>
      </c>
      <c r="EZ15" s="22"/>
      <c r="FA15" s="24">
        <v>681</v>
      </c>
      <c r="FB15" s="406">
        <v>1413</v>
      </c>
      <c r="FC15" s="405">
        <v>2094</v>
      </c>
      <c r="FD15" s="405">
        <v>1431</v>
      </c>
      <c r="FE15" s="23">
        <v>3525</v>
      </c>
    </row>
    <row r="16" spans="1:161" ht="15" customHeight="1" outlineLevel="1" x14ac:dyDescent="0.25">
      <c r="A16" s="6" t="s">
        <v>16</v>
      </c>
      <c r="B16" s="350">
        <v>0</v>
      </c>
      <c r="C16" s="6"/>
      <c r="D16" s="368">
        <v>0</v>
      </c>
      <c r="E16" s="525">
        <v>0</v>
      </c>
      <c r="F16" s="525">
        <v>0</v>
      </c>
      <c r="G16" s="525">
        <v>0</v>
      </c>
      <c r="H16" s="525">
        <v>0</v>
      </c>
      <c r="I16" s="525">
        <v>0</v>
      </c>
      <c r="J16" s="544">
        <v>0</v>
      </c>
      <c r="K16" s="6"/>
      <c r="L16" s="782">
        <v>0</v>
      </c>
      <c r="M16" s="525">
        <v>0</v>
      </c>
      <c r="N16" s="525">
        <v>0</v>
      </c>
      <c r="O16" s="525">
        <v>0</v>
      </c>
      <c r="P16" s="525">
        <v>0</v>
      </c>
      <c r="Q16" s="525">
        <v>0</v>
      </c>
      <c r="R16" s="544">
        <v>0</v>
      </c>
      <c r="S16" s="6"/>
      <c r="T16" s="368">
        <v>0</v>
      </c>
      <c r="U16" s="525">
        <f t="shared" si="0"/>
        <v>0</v>
      </c>
      <c r="V16" s="525">
        <v>0</v>
      </c>
      <c r="W16" s="525">
        <f t="shared" si="0"/>
        <v>0</v>
      </c>
      <c r="X16" s="549">
        <v>0</v>
      </c>
      <c r="Y16" s="525">
        <f t="shared" si="0"/>
        <v>0</v>
      </c>
      <c r="Z16" s="544"/>
      <c r="AA16" s="274"/>
      <c r="AB16" s="368">
        <v>0</v>
      </c>
      <c r="AC16" s="525">
        <f t="shared" si="1"/>
        <v>0</v>
      </c>
      <c r="AD16" s="549">
        <v>0</v>
      </c>
      <c r="AE16" s="549">
        <v>0</v>
      </c>
      <c r="AF16" s="549">
        <v>0</v>
      </c>
      <c r="AG16" s="549">
        <f t="shared" si="4"/>
        <v>0</v>
      </c>
      <c r="AH16" s="544">
        <v>0</v>
      </c>
      <c r="AI16" s="406"/>
      <c r="AJ16" s="6" t="s">
        <v>16</v>
      </c>
      <c r="AK16" s="24">
        <v>0</v>
      </c>
      <c r="AL16" s="405">
        <v>0</v>
      </c>
      <c r="AM16" s="405">
        <v>0</v>
      </c>
      <c r="AN16" s="405">
        <v>0</v>
      </c>
      <c r="AO16" s="405">
        <v>0</v>
      </c>
      <c r="AP16" s="405">
        <f t="shared" si="3"/>
        <v>0</v>
      </c>
      <c r="AQ16" s="23">
        <v>0</v>
      </c>
      <c r="AR16" s="6"/>
      <c r="AS16" s="24">
        <v>0</v>
      </c>
      <c r="AT16" s="405">
        <v>0</v>
      </c>
      <c r="AU16" s="405">
        <v>0</v>
      </c>
      <c r="AV16" s="405">
        <v>0</v>
      </c>
      <c r="AW16" s="405">
        <v>0</v>
      </c>
      <c r="AX16" s="405">
        <v>0</v>
      </c>
      <c r="AY16" s="23">
        <v>0</v>
      </c>
      <c r="AZ16" s="405"/>
      <c r="BA16" s="24">
        <v>0</v>
      </c>
      <c r="BB16" s="405">
        <v>0</v>
      </c>
      <c r="BC16" s="405"/>
      <c r="BD16" s="405">
        <v>0</v>
      </c>
      <c r="BE16" s="405">
        <v>0</v>
      </c>
      <c r="BF16" s="405">
        <v>0</v>
      </c>
      <c r="BG16" s="23">
        <v>0</v>
      </c>
      <c r="BH16" s="6"/>
      <c r="BI16" s="24">
        <v>0</v>
      </c>
      <c r="BJ16" s="405">
        <v>0</v>
      </c>
      <c r="BK16" s="405">
        <v>0</v>
      </c>
      <c r="BL16" s="405">
        <v>0</v>
      </c>
      <c r="BM16" s="405">
        <v>0</v>
      </c>
      <c r="BN16" s="405">
        <v>0</v>
      </c>
      <c r="BO16" s="23">
        <v>0</v>
      </c>
      <c r="BP16" s="6"/>
      <c r="BQ16" s="24">
        <v>0</v>
      </c>
      <c r="BR16" s="405">
        <v>0</v>
      </c>
      <c r="BS16" s="405">
        <v>0</v>
      </c>
      <c r="BT16" s="405">
        <v>0</v>
      </c>
      <c r="BU16" s="405">
        <v>0</v>
      </c>
      <c r="BV16" s="405">
        <v>0</v>
      </c>
      <c r="BW16" s="23">
        <v>0</v>
      </c>
      <c r="BX16" s="6"/>
      <c r="BY16" s="24">
        <v>0</v>
      </c>
      <c r="BZ16" s="405">
        <v>0</v>
      </c>
      <c r="CA16" s="405">
        <v>0</v>
      </c>
      <c r="CB16" s="405">
        <v>0</v>
      </c>
      <c r="CC16" s="405">
        <v>0</v>
      </c>
      <c r="CD16" s="408">
        <v>0</v>
      </c>
      <c r="CE16" s="23">
        <v>0</v>
      </c>
      <c r="CF16" s="6"/>
      <c r="CG16" s="24">
        <v>0</v>
      </c>
      <c r="CH16" s="405">
        <v>0</v>
      </c>
      <c r="CI16" s="405">
        <v>0</v>
      </c>
      <c r="CJ16" s="405">
        <v>0</v>
      </c>
      <c r="CK16" s="405">
        <v>0</v>
      </c>
      <c r="CL16" s="408">
        <v>0</v>
      </c>
      <c r="CM16" s="23">
        <v>0</v>
      </c>
      <c r="CN16" s="22"/>
      <c r="CO16" s="24">
        <v>0</v>
      </c>
      <c r="CP16" s="405">
        <v>0</v>
      </c>
      <c r="CQ16" s="405">
        <v>0</v>
      </c>
      <c r="CR16" s="405">
        <v>0</v>
      </c>
      <c r="CS16" s="405">
        <v>0</v>
      </c>
      <c r="CT16" s="405">
        <v>0</v>
      </c>
      <c r="CU16" s="23">
        <v>0</v>
      </c>
      <c r="CV16" s="22"/>
      <c r="CW16" s="24">
        <v>0</v>
      </c>
      <c r="CX16" s="405">
        <v>0</v>
      </c>
      <c r="CY16" s="405"/>
      <c r="CZ16" s="405">
        <v>0</v>
      </c>
      <c r="DA16" s="405"/>
      <c r="DB16" s="405">
        <v>0</v>
      </c>
      <c r="DC16" s="23"/>
      <c r="DD16" s="22"/>
      <c r="DE16" s="24">
        <v>0</v>
      </c>
      <c r="DF16" s="405">
        <v>0</v>
      </c>
      <c r="DG16" s="405">
        <v>0</v>
      </c>
      <c r="DH16" s="405">
        <v>0</v>
      </c>
      <c r="DI16" s="405">
        <v>0</v>
      </c>
      <c r="DJ16" s="405">
        <v>0</v>
      </c>
      <c r="DK16" s="23">
        <v>0</v>
      </c>
      <c r="DL16" s="22"/>
      <c r="DM16" s="24">
        <v>0</v>
      </c>
      <c r="DN16" s="405">
        <v>0</v>
      </c>
      <c r="DO16" s="405">
        <v>0</v>
      </c>
      <c r="DP16" s="405">
        <v>0</v>
      </c>
      <c r="DQ16" s="405">
        <v>0</v>
      </c>
      <c r="DR16" s="405">
        <v>0</v>
      </c>
      <c r="DS16" s="23">
        <v>0</v>
      </c>
      <c r="DT16" s="22"/>
      <c r="DU16" s="24">
        <v>0</v>
      </c>
      <c r="DV16" s="405">
        <v>0</v>
      </c>
      <c r="DW16" s="405">
        <v>0</v>
      </c>
      <c r="DX16" s="405">
        <v>0</v>
      </c>
      <c r="DY16" s="405">
        <v>0</v>
      </c>
      <c r="DZ16" s="405">
        <v>0</v>
      </c>
      <c r="EA16" s="23">
        <v>0</v>
      </c>
      <c r="EB16" s="22"/>
      <c r="EC16" s="24">
        <v>9800</v>
      </c>
      <c r="ED16" s="405">
        <v>0</v>
      </c>
      <c r="EE16" s="405">
        <v>9800</v>
      </c>
      <c r="EF16" s="405">
        <v>0</v>
      </c>
      <c r="EG16" s="405">
        <v>9800</v>
      </c>
      <c r="EH16" s="405">
        <v>0</v>
      </c>
      <c r="EI16" s="23">
        <v>9800</v>
      </c>
      <c r="EJ16" s="22"/>
      <c r="EK16" s="24">
        <v>0</v>
      </c>
      <c r="EL16" s="405">
        <v>0</v>
      </c>
      <c r="EM16" s="405">
        <v>0</v>
      </c>
      <c r="EN16" s="405">
        <v>0</v>
      </c>
      <c r="EO16" s="405">
        <v>0</v>
      </c>
      <c r="EP16" s="405">
        <v>0</v>
      </c>
      <c r="EQ16" s="23">
        <v>0</v>
      </c>
      <c r="ER16" s="22"/>
      <c r="ES16" s="24">
        <v>0</v>
      </c>
      <c r="ET16" s="405">
        <v>0</v>
      </c>
      <c r="EU16" s="405">
        <v>0</v>
      </c>
      <c r="EV16" s="405">
        <v>0</v>
      </c>
      <c r="EW16" s="405">
        <v>0</v>
      </c>
      <c r="EX16" s="405">
        <v>0</v>
      </c>
      <c r="EY16" s="23">
        <v>0</v>
      </c>
      <c r="EZ16" s="22"/>
      <c r="FA16" s="24">
        <v>0</v>
      </c>
      <c r="FB16" s="406">
        <v>0</v>
      </c>
      <c r="FC16" s="405">
        <v>0</v>
      </c>
      <c r="FD16" s="405">
        <v>0</v>
      </c>
      <c r="FE16" s="23">
        <v>0</v>
      </c>
    </row>
    <row r="17" spans="1:169" s="163" customFormat="1" ht="17.25" customHeight="1" outlineLevel="1" x14ac:dyDescent="0.4">
      <c r="A17" s="6" t="s">
        <v>34</v>
      </c>
      <c r="B17" s="735">
        <v>0</v>
      </c>
      <c r="C17" s="6"/>
      <c r="D17" s="387">
        <v>0</v>
      </c>
      <c r="E17" s="613">
        <v>0</v>
      </c>
      <c r="F17" s="613">
        <v>0</v>
      </c>
      <c r="G17" s="613">
        <v>0</v>
      </c>
      <c r="H17" s="613">
        <v>0</v>
      </c>
      <c r="I17" s="526">
        <v>0</v>
      </c>
      <c r="J17" s="33">
        <v>0</v>
      </c>
      <c r="K17" s="6"/>
      <c r="L17" s="711">
        <v>351</v>
      </c>
      <c r="M17" s="613">
        <v>18</v>
      </c>
      <c r="N17" s="613">
        <v>368</v>
      </c>
      <c r="O17" s="613">
        <v>0</v>
      </c>
      <c r="P17" s="613">
        <v>368</v>
      </c>
      <c r="Q17" s="613">
        <v>0</v>
      </c>
      <c r="R17" s="712">
        <v>368</v>
      </c>
      <c r="S17"/>
      <c r="T17" s="711">
        <v>0</v>
      </c>
      <c r="U17" s="613">
        <f t="shared" si="0"/>
        <v>-365</v>
      </c>
      <c r="V17" s="613">
        <v>-365</v>
      </c>
      <c r="W17" s="613">
        <f t="shared" si="0"/>
        <v>-29</v>
      </c>
      <c r="X17" s="615">
        <v>-394</v>
      </c>
      <c r="Y17" s="613">
        <f t="shared" si="0"/>
        <v>394</v>
      </c>
      <c r="Z17" s="33">
        <v>0</v>
      </c>
      <c r="AA17" s="274"/>
      <c r="AB17" s="391">
        <v>0</v>
      </c>
      <c r="AC17" s="702">
        <f t="shared" si="1"/>
        <v>-37</v>
      </c>
      <c r="AD17" s="410">
        <v>-37</v>
      </c>
      <c r="AE17" s="410">
        <f t="shared" si="2"/>
        <v>0</v>
      </c>
      <c r="AF17" s="410">
        <v>-37</v>
      </c>
      <c r="AG17" s="410">
        <f t="shared" si="4"/>
        <v>14</v>
      </c>
      <c r="AH17" s="33">
        <v>-23</v>
      </c>
      <c r="AI17" s="440"/>
      <c r="AJ17" s="6" t="s">
        <v>34</v>
      </c>
      <c r="AK17" s="160">
        <v>0</v>
      </c>
      <c r="AL17" s="409">
        <v>0</v>
      </c>
      <c r="AM17" s="409">
        <v>0</v>
      </c>
      <c r="AN17" s="409">
        <v>0</v>
      </c>
      <c r="AO17" s="409">
        <v>0</v>
      </c>
      <c r="AP17" s="409">
        <f t="shared" si="3"/>
        <v>0</v>
      </c>
      <c r="AQ17" s="162">
        <v>0</v>
      </c>
      <c r="AR17" s="6"/>
      <c r="AS17" s="160">
        <v>0</v>
      </c>
      <c r="AT17" s="409">
        <v>0</v>
      </c>
      <c r="AU17" s="409">
        <v>0</v>
      </c>
      <c r="AV17" s="409">
        <v>0</v>
      </c>
      <c r="AW17" s="409">
        <v>0</v>
      </c>
      <c r="AX17" s="409">
        <v>0</v>
      </c>
      <c r="AY17" s="162">
        <v>0</v>
      </c>
      <c r="AZ17" s="409"/>
      <c r="BA17" s="160">
        <v>0</v>
      </c>
      <c r="BB17" s="409">
        <v>0</v>
      </c>
      <c r="BC17" s="409"/>
      <c r="BD17" s="409">
        <v>0</v>
      </c>
      <c r="BE17" s="409">
        <v>0</v>
      </c>
      <c r="BF17" s="409">
        <v>0</v>
      </c>
      <c r="BG17" s="162">
        <v>0</v>
      </c>
      <c r="BH17" s="6"/>
      <c r="BI17" s="160">
        <v>0</v>
      </c>
      <c r="BJ17" s="409">
        <v>0</v>
      </c>
      <c r="BK17" s="409">
        <v>0</v>
      </c>
      <c r="BL17" s="409">
        <v>0</v>
      </c>
      <c r="BM17" s="409">
        <v>0</v>
      </c>
      <c r="BN17" s="409">
        <v>0</v>
      </c>
      <c r="BO17" s="162">
        <v>0</v>
      </c>
      <c r="BP17" s="6"/>
      <c r="BQ17" s="160">
        <v>0</v>
      </c>
      <c r="BR17" s="409">
        <v>0</v>
      </c>
      <c r="BS17" s="409">
        <v>0</v>
      </c>
      <c r="BT17" s="409">
        <v>0</v>
      </c>
      <c r="BU17" s="409">
        <v>0</v>
      </c>
      <c r="BV17" s="409">
        <v>0</v>
      </c>
      <c r="BW17" s="162">
        <v>0</v>
      </c>
      <c r="BX17" s="6"/>
      <c r="BY17" s="160">
        <v>0</v>
      </c>
      <c r="BZ17" s="409">
        <v>0</v>
      </c>
      <c r="CA17" s="409">
        <v>0</v>
      </c>
      <c r="CB17" s="409">
        <v>0</v>
      </c>
      <c r="CC17" s="409">
        <v>0</v>
      </c>
      <c r="CD17" s="409">
        <v>0</v>
      </c>
      <c r="CE17" s="33">
        <v>0</v>
      </c>
      <c r="CF17" s="6"/>
      <c r="CG17" s="160">
        <v>0</v>
      </c>
      <c r="CH17" s="409">
        <v>0</v>
      </c>
      <c r="CI17" s="409">
        <v>0</v>
      </c>
      <c r="CJ17" s="409">
        <v>0</v>
      </c>
      <c r="CK17" s="409">
        <v>0</v>
      </c>
      <c r="CL17" s="409">
        <v>0</v>
      </c>
      <c r="CM17" s="33">
        <v>0</v>
      </c>
      <c r="CN17" s="161"/>
      <c r="CO17" s="160">
        <v>0</v>
      </c>
      <c r="CP17" s="409">
        <v>0</v>
      </c>
      <c r="CQ17" s="409">
        <v>0</v>
      </c>
      <c r="CR17" s="409">
        <v>0</v>
      </c>
      <c r="CS17" s="409">
        <v>0</v>
      </c>
      <c r="CT17" s="409">
        <v>0</v>
      </c>
      <c r="CU17" s="162">
        <v>0</v>
      </c>
      <c r="CV17" s="161"/>
      <c r="CW17" s="160">
        <v>0</v>
      </c>
      <c r="CX17" s="409">
        <v>0</v>
      </c>
      <c r="CY17" s="409">
        <v>0</v>
      </c>
      <c r="CZ17" s="409">
        <v>0</v>
      </c>
      <c r="DA17" s="409">
        <v>0</v>
      </c>
      <c r="DB17" s="409">
        <v>0</v>
      </c>
      <c r="DC17" s="162">
        <v>0</v>
      </c>
      <c r="DD17" s="161"/>
      <c r="DE17" s="160"/>
      <c r="DF17" s="409">
        <v>0</v>
      </c>
      <c r="DG17" s="409">
        <v>0</v>
      </c>
      <c r="DH17" s="409">
        <v>0</v>
      </c>
      <c r="DI17" s="409">
        <v>0</v>
      </c>
      <c r="DJ17" s="409">
        <v>0</v>
      </c>
      <c r="DK17" s="162">
        <v>0</v>
      </c>
      <c r="DL17" s="161"/>
      <c r="DM17" s="160">
        <v>0</v>
      </c>
      <c r="DN17" s="409">
        <v>0</v>
      </c>
      <c r="DO17" s="409">
        <v>0</v>
      </c>
      <c r="DP17" s="409">
        <v>0</v>
      </c>
      <c r="DQ17" s="409"/>
      <c r="DR17" s="409">
        <v>0</v>
      </c>
      <c r="DS17" s="162"/>
      <c r="DT17" s="161"/>
      <c r="DU17" s="160">
        <v>0</v>
      </c>
      <c r="DV17" s="409">
        <v>0</v>
      </c>
      <c r="DW17" s="409">
        <v>0</v>
      </c>
      <c r="DX17" s="409">
        <v>0</v>
      </c>
      <c r="DY17" s="409">
        <v>0</v>
      </c>
      <c r="DZ17" s="409">
        <v>0</v>
      </c>
      <c r="EA17" s="162">
        <v>0</v>
      </c>
      <c r="EB17" s="161"/>
      <c r="EC17" s="160">
        <v>0</v>
      </c>
      <c r="ED17" s="409">
        <v>0</v>
      </c>
      <c r="EE17" s="409">
        <v>0</v>
      </c>
      <c r="EF17" s="409">
        <v>0</v>
      </c>
      <c r="EG17" s="409">
        <v>0</v>
      </c>
      <c r="EH17" s="409">
        <v>0</v>
      </c>
      <c r="EI17" s="162">
        <v>0</v>
      </c>
      <c r="EJ17" s="161"/>
      <c r="EK17" s="160">
        <v>0</v>
      </c>
      <c r="EL17" s="409">
        <v>0</v>
      </c>
      <c r="EM17" s="409">
        <v>0</v>
      </c>
      <c r="EN17" s="409">
        <v>0</v>
      </c>
      <c r="EO17" s="409">
        <v>0</v>
      </c>
      <c r="EP17" s="409">
        <v>0</v>
      </c>
      <c r="EQ17" s="162">
        <v>0</v>
      </c>
      <c r="ER17" s="161"/>
      <c r="ES17" s="160">
        <v>0</v>
      </c>
      <c r="ET17" s="409">
        <v>0</v>
      </c>
      <c r="EU17" s="409">
        <v>0</v>
      </c>
      <c r="EV17" s="409">
        <v>0</v>
      </c>
      <c r="EW17" s="409">
        <v>0</v>
      </c>
      <c r="EX17" s="409">
        <v>0</v>
      </c>
      <c r="EY17" s="162">
        <v>0</v>
      </c>
      <c r="EZ17" s="161"/>
      <c r="FA17" s="160">
        <v>0</v>
      </c>
      <c r="FB17" s="406">
        <v>0</v>
      </c>
      <c r="FC17" s="409">
        <v>0</v>
      </c>
      <c r="FD17" s="409">
        <v>0</v>
      </c>
      <c r="FE17" s="162">
        <v>0</v>
      </c>
    </row>
    <row r="18" spans="1:169" s="14" customFormat="1" x14ac:dyDescent="0.25">
      <c r="A18" s="12" t="s">
        <v>208</v>
      </c>
      <c r="B18" s="347">
        <f>-SUM(B12:B17)</f>
        <v>-27353.334999999999</v>
      </c>
      <c r="C18" s="12"/>
      <c r="D18" s="371">
        <f>-SUM(D12:D17)</f>
        <v>-21726.703999999998</v>
      </c>
      <c r="E18" s="532">
        <f>-SUM(E12:E17)</f>
        <v>-30499.720999999998</v>
      </c>
      <c r="F18" s="532">
        <f t="shared" ref="F18:J18" si="5">-SUM(F12:F17)</f>
        <v>-52226.425000000003</v>
      </c>
      <c r="G18" s="532">
        <f t="shared" si="5"/>
        <v>-47265.441999999995</v>
      </c>
      <c r="H18" s="532">
        <f t="shared" si="5"/>
        <v>-99491.866999999998</v>
      </c>
      <c r="I18" s="532">
        <f t="shared" si="5"/>
        <v>8393.1660000000011</v>
      </c>
      <c r="J18" s="640">
        <f t="shared" si="5"/>
        <v>-91098.701000000001</v>
      </c>
      <c r="K18" s="12"/>
      <c r="L18" s="691">
        <f t="shared" ref="L18:Z18" si="6">-SUM(L12:L17)</f>
        <v>-21379</v>
      </c>
      <c r="M18" s="532">
        <f t="shared" si="6"/>
        <v>-20954</v>
      </c>
      <c r="N18" s="532">
        <f t="shared" si="6"/>
        <v>-42331</v>
      </c>
      <c r="O18" s="532">
        <f t="shared" si="6"/>
        <v>-22736</v>
      </c>
      <c r="P18" s="532">
        <f t="shared" si="6"/>
        <v>-65067</v>
      </c>
      <c r="Q18" s="532">
        <f t="shared" si="6"/>
        <v>-22694</v>
      </c>
      <c r="R18" s="640">
        <f t="shared" si="6"/>
        <v>-87761</v>
      </c>
      <c r="S18" s="12"/>
      <c r="T18" s="691">
        <f t="shared" si="6"/>
        <v>-19438</v>
      </c>
      <c r="U18" s="454">
        <f t="shared" si="0"/>
        <v>-19309</v>
      </c>
      <c r="V18" s="532">
        <f t="shared" si="6"/>
        <v>-38747</v>
      </c>
      <c r="W18" s="532">
        <f t="shared" si="6"/>
        <v>-20551</v>
      </c>
      <c r="X18" s="532">
        <f t="shared" si="6"/>
        <v>-59298</v>
      </c>
      <c r="Y18" s="532">
        <f t="shared" si="6"/>
        <v>-20869</v>
      </c>
      <c r="Z18" s="640">
        <f t="shared" si="6"/>
        <v>-80167</v>
      </c>
      <c r="AA18" s="274"/>
      <c r="AB18" s="371">
        <v>-16552</v>
      </c>
      <c r="AC18" s="454">
        <f t="shared" si="1"/>
        <v>-16820</v>
      </c>
      <c r="AD18" s="406">
        <v>-33372</v>
      </c>
      <c r="AE18" s="406">
        <f t="shared" si="2"/>
        <v>-18784</v>
      </c>
      <c r="AF18" s="406">
        <v>-52156</v>
      </c>
      <c r="AG18" s="406">
        <f t="shared" si="4"/>
        <v>-20770</v>
      </c>
      <c r="AH18" s="21">
        <v>-72926</v>
      </c>
      <c r="AI18" s="406"/>
      <c r="AJ18" s="12" t="s">
        <v>17</v>
      </c>
      <c r="AK18" s="25">
        <v>-13450</v>
      </c>
      <c r="AL18" s="406">
        <v>-13728</v>
      </c>
      <c r="AM18" s="406">
        <v>-27178</v>
      </c>
      <c r="AN18" s="406">
        <v>-14648</v>
      </c>
      <c r="AO18" s="406">
        <v>-41826</v>
      </c>
      <c r="AP18" s="406">
        <f t="shared" si="3"/>
        <v>-17002</v>
      </c>
      <c r="AQ18" s="21">
        <v>-58828</v>
      </c>
      <c r="AR18" s="12"/>
      <c r="AS18" s="25">
        <v>-10729</v>
      </c>
      <c r="AT18" s="406">
        <v>-7511</v>
      </c>
      <c r="AU18" s="406">
        <v>-18240</v>
      </c>
      <c r="AV18" s="406">
        <v>-11385</v>
      </c>
      <c r="AW18" s="406">
        <v>-29625</v>
      </c>
      <c r="AX18" s="406">
        <v>-13978</v>
      </c>
      <c r="AY18" s="21">
        <v>-43603</v>
      </c>
      <c r="AZ18" s="406"/>
      <c r="BA18" s="25">
        <v>-13064</v>
      </c>
      <c r="BB18" s="406">
        <v>-10448</v>
      </c>
      <c r="BC18" s="406">
        <v>-23512</v>
      </c>
      <c r="BD18" s="406">
        <v>-10957</v>
      </c>
      <c r="BE18" s="406">
        <v>-34469</v>
      </c>
      <c r="BF18" s="406">
        <v>-12678</v>
      </c>
      <c r="BG18" s="21">
        <v>-47147</v>
      </c>
      <c r="BH18" s="12"/>
      <c r="BI18" s="25">
        <v>-13136</v>
      </c>
      <c r="BJ18" s="406">
        <v>-13595</v>
      </c>
      <c r="BK18" s="406">
        <v>-26731</v>
      </c>
      <c r="BL18" s="406">
        <v>-12293</v>
      </c>
      <c r="BM18" s="406">
        <v>-39024</v>
      </c>
      <c r="BN18" s="406">
        <v>-14020</v>
      </c>
      <c r="BO18" s="21">
        <v>-53044</v>
      </c>
      <c r="BP18" s="12"/>
      <c r="BQ18" s="25">
        <v>-10279</v>
      </c>
      <c r="BR18" s="406">
        <v>-9740</v>
      </c>
      <c r="BS18" s="406">
        <v>-20019</v>
      </c>
      <c r="BT18" s="406">
        <v>-9844</v>
      </c>
      <c r="BU18" s="406">
        <v>-29863</v>
      </c>
      <c r="BV18" s="406">
        <v>-10879</v>
      </c>
      <c r="BW18" s="21">
        <v>-40742</v>
      </c>
      <c r="BX18" s="12"/>
      <c r="BY18" s="25">
        <v>-9125</v>
      </c>
      <c r="BZ18" s="406">
        <v>-8066</v>
      </c>
      <c r="CA18" s="406">
        <v>-17191</v>
      </c>
      <c r="CB18" s="406">
        <v>-10225</v>
      </c>
      <c r="CC18" s="406">
        <v>-27416</v>
      </c>
      <c r="CD18" s="406">
        <v>-10601</v>
      </c>
      <c r="CE18" s="21">
        <v>-38017</v>
      </c>
      <c r="CF18" s="12"/>
      <c r="CG18" s="25">
        <v>-9612</v>
      </c>
      <c r="CH18" s="406">
        <v>-8289</v>
      </c>
      <c r="CI18" s="406">
        <v>-17901</v>
      </c>
      <c r="CJ18" s="406">
        <v>-7633</v>
      </c>
      <c r="CK18" s="406">
        <v>-25534</v>
      </c>
      <c r="CL18" s="406">
        <v>-8356</v>
      </c>
      <c r="CM18" s="21">
        <v>-33890</v>
      </c>
      <c r="CN18" s="20"/>
      <c r="CO18" s="25">
        <v>-7127</v>
      </c>
      <c r="CP18" s="406">
        <v>-7141</v>
      </c>
      <c r="CQ18" s="406">
        <v>-14268</v>
      </c>
      <c r="CR18" s="406">
        <v>-7087</v>
      </c>
      <c r="CS18" s="406">
        <v>-21355</v>
      </c>
      <c r="CT18" s="406">
        <v>-9949</v>
      </c>
      <c r="CU18" s="21">
        <v>-31304</v>
      </c>
      <c r="CV18" s="20"/>
      <c r="CW18" s="25">
        <v>-12591</v>
      </c>
      <c r="CX18" s="406">
        <v>-15026</v>
      </c>
      <c r="CY18" s="406">
        <v>-27617</v>
      </c>
      <c r="CZ18" s="406">
        <v>54778</v>
      </c>
      <c r="DA18" s="406">
        <v>27161</v>
      </c>
      <c r="DB18" s="406">
        <v>-7936</v>
      </c>
      <c r="DC18" s="21">
        <v>19225</v>
      </c>
      <c r="DD18" s="20"/>
      <c r="DE18" s="25">
        <v>-5230</v>
      </c>
      <c r="DF18" s="406">
        <v>-8455</v>
      </c>
      <c r="DG18" s="406">
        <v>-13684</v>
      </c>
      <c r="DH18" s="406">
        <v>-10852</v>
      </c>
      <c r="DI18" s="406">
        <v>-24536</v>
      </c>
      <c r="DJ18" s="406">
        <v>-15810</v>
      </c>
      <c r="DK18" s="21">
        <v>-40346</v>
      </c>
      <c r="DL18" s="20"/>
      <c r="DM18" s="25">
        <v>-9241</v>
      </c>
      <c r="DN18" s="406">
        <v>-7444</v>
      </c>
      <c r="DO18" s="406">
        <v>-16685</v>
      </c>
      <c r="DP18" s="406">
        <v>-8290</v>
      </c>
      <c r="DQ18" s="406">
        <v>-24975</v>
      </c>
      <c r="DR18" s="406">
        <v>-8104</v>
      </c>
      <c r="DS18" s="21">
        <v>-33079</v>
      </c>
      <c r="DT18" s="20"/>
      <c r="DU18" s="25">
        <v>-20872</v>
      </c>
      <c r="DV18" s="406">
        <v>-11084</v>
      </c>
      <c r="DW18" s="406">
        <v>-31956</v>
      </c>
      <c r="DX18" s="406">
        <v>-7919</v>
      </c>
      <c r="DY18" s="406">
        <v>-39875</v>
      </c>
      <c r="DZ18" s="406">
        <v>-18953</v>
      </c>
      <c r="EA18" s="21">
        <v>-58828</v>
      </c>
      <c r="EB18" s="20"/>
      <c r="EC18" s="25">
        <v>-7593</v>
      </c>
      <c r="ED18" s="406">
        <v>-5611</v>
      </c>
      <c r="EE18" s="406">
        <v>-13204</v>
      </c>
      <c r="EF18" s="406">
        <v>-5456</v>
      </c>
      <c r="EG18" s="406">
        <v>-18660</v>
      </c>
      <c r="EH18" s="406">
        <v>-14085</v>
      </c>
      <c r="EI18" s="21">
        <v>-32745</v>
      </c>
      <c r="EJ18" s="20"/>
      <c r="EK18" s="25">
        <v>-9042</v>
      </c>
      <c r="EL18" s="406">
        <v>-10210</v>
      </c>
      <c r="EM18" s="406">
        <v>-18636</v>
      </c>
      <c r="EN18" s="406">
        <v>-5705</v>
      </c>
      <c r="EO18" s="406">
        <v>-24341</v>
      </c>
      <c r="EP18" s="406">
        <v>-7568</v>
      </c>
      <c r="EQ18" s="21">
        <v>-31909</v>
      </c>
      <c r="ER18" s="20"/>
      <c r="ES18" s="25">
        <v>-6534</v>
      </c>
      <c r="ET18" s="406">
        <v>-5968</v>
      </c>
      <c r="EU18" s="406">
        <v>-12502</v>
      </c>
      <c r="EV18" s="406">
        <v>-7008</v>
      </c>
      <c r="EW18" s="406">
        <v>-19510</v>
      </c>
      <c r="EX18" s="406">
        <v>-8786</v>
      </c>
      <c r="EY18" s="21">
        <v>-28296</v>
      </c>
      <c r="EZ18" s="20"/>
      <c r="FA18" s="25">
        <v>-2936</v>
      </c>
      <c r="FB18" s="406">
        <v>-12189</v>
      </c>
      <c r="FC18" s="406">
        <v>-15125</v>
      </c>
      <c r="FD18" s="406">
        <v>-20893</v>
      </c>
      <c r="FE18" s="21">
        <v>-36018</v>
      </c>
    </row>
    <row r="19" spans="1:169" ht="15" customHeight="1" outlineLevel="1" x14ac:dyDescent="0.25">
      <c r="A19" s="6" t="s">
        <v>19</v>
      </c>
      <c r="B19" s="349">
        <v>27342.496000000003</v>
      </c>
      <c r="C19" s="6"/>
      <c r="D19" s="379">
        <v>26842.120999999999</v>
      </c>
      <c r="E19" s="542">
        <v>27083.760000000002</v>
      </c>
      <c r="F19" s="542">
        <v>53925.881000000001</v>
      </c>
      <c r="G19" s="542">
        <v>61479.687999999995</v>
      </c>
      <c r="H19" s="542">
        <v>115405.56899999999</v>
      </c>
      <c r="I19" s="524">
        <v>36170.038</v>
      </c>
      <c r="J19" s="544">
        <v>151575.60700000002</v>
      </c>
      <c r="K19" s="6"/>
      <c r="L19" s="713">
        <v>23593</v>
      </c>
      <c r="M19" s="626">
        <v>26449</v>
      </c>
      <c r="N19" s="626">
        <v>50042</v>
      </c>
      <c r="O19" s="626">
        <v>27236</v>
      </c>
      <c r="P19" s="626">
        <v>77278</v>
      </c>
      <c r="Q19" s="426">
        <f>R19-P19</f>
        <v>29136</v>
      </c>
      <c r="R19" s="627">
        <v>106414</v>
      </c>
      <c r="S19" s="795"/>
      <c r="T19" s="313">
        <v>26055</v>
      </c>
      <c r="U19" s="426">
        <f>V19-T19</f>
        <v>26544</v>
      </c>
      <c r="V19" s="426">
        <v>52599</v>
      </c>
      <c r="W19" s="426">
        <f>X19-V19</f>
        <v>27524</v>
      </c>
      <c r="X19" s="441">
        <f>80598-475</f>
        <v>80123</v>
      </c>
      <c r="Y19" s="426">
        <f>Z19-X19</f>
        <v>24726</v>
      </c>
      <c r="Z19" s="106">
        <f>105179-28-302</f>
        <v>104849</v>
      </c>
      <c r="AA19" s="404"/>
      <c r="AB19" s="313">
        <f>17369-1</f>
        <v>17368</v>
      </c>
      <c r="AC19" s="426">
        <f>AD19-AB19</f>
        <v>17466</v>
      </c>
      <c r="AD19" s="441">
        <v>34834</v>
      </c>
      <c r="AE19" s="441">
        <f>AF19-AD19</f>
        <v>22715</v>
      </c>
      <c r="AF19" s="441">
        <v>57549</v>
      </c>
      <c r="AG19" s="441">
        <f>AH19-AF19</f>
        <v>25694</v>
      </c>
      <c r="AH19" s="106">
        <v>83243</v>
      </c>
      <c r="AI19" s="406"/>
      <c r="AJ19" s="6" t="s">
        <v>19</v>
      </c>
      <c r="AK19" s="27">
        <v>13759</v>
      </c>
      <c r="AL19" s="408">
        <v>14892</v>
      </c>
      <c r="AM19" s="408">
        <v>28651</v>
      </c>
      <c r="AN19" s="408">
        <v>13813</v>
      </c>
      <c r="AO19" s="408">
        <v>42464</v>
      </c>
      <c r="AP19" s="408">
        <f>AQ19-AO19</f>
        <v>16175</v>
      </c>
      <c r="AQ19" s="29">
        <v>58639</v>
      </c>
      <c r="AR19" s="6"/>
      <c r="AS19" s="27">
        <v>8536</v>
      </c>
      <c r="AT19" s="408">
        <v>11115</v>
      </c>
      <c r="AU19" s="408">
        <v>19651</v>
      </c>
      <c r="AV19" s="408">
        <v>12320</v>
      </c>
      <c r="AW19" s="408">
        <v>31971</v>
      </c>
      <c r="AX19" s="408">
        <v>13639</v>
      </c>
      <c r="AY19" s="29">
        <v>45610</v>
      </c>
      <c r="AZ19" s="408"/>
      <c r="BA19" s="27">
        <v>18410</v>
      </c>
      <c r="BB19" s="408">
        <v>18376</v>
      </c>
      <c r="BC19" s="408">
        <v>36786</v>
      </c>
      <c r="BD19" s="408">
        <v>11461</v>
      </c>
      <c r="BE19" s="408">
        <v>48247</v>
      </c>
      <c r="BF19" s="408">
        <v>9733</v>
      </c>
      <c r="BG19" s="29">
        <v>57980</v>
      </c>
      <c r="BH19" s="6"/>
      <c r="BI19" s="27">
        <v>6038</v>
      </c>
      <c r="BJ19" s="408">
        <v>13402</v>
      </c>
      <c r="BK19" s="408">
        <v>19440</v>
      </c>
      <c r="BL19" s="408">
        <v>15540</v>
      </c>
      <c r="BM19" s="408">
        <v>34980</v>
      </c>
      <c r="BN19" s="408">
        <v>20014</v>
      </c>
      <c r="BO19" s="29">
        <v>54994</v>
      </c>
      <c r="BP19" s="6"/>
      <c r="BQ19" s="27">
        <v>6991</v>
      </c>
      <c r="BR19" s="408">
        <v>8342</v>
      </c>
      <c r="BS19" s="408">
        <v>15333</v>
      </c>
      <c r="BT19" s="408">
        <v>6821</v>
      </c>
      <c r="BU19" s="408">
        <v>22154</v>
      </c>
      <c r="BV19" s="408">
        <v>4896</v>
      </c>
      <c r="BW19" s="29">
        <v>27050</v>
      </c>
      <c r="BX19" s="6"/>
      <c r="BY19" s="27">
        <v>11313</v>
      </c>
      <c r="BZ19" s="408">
        <v>7248</v>
      </c>
      <c r="CA19" s="408">
        <v>18561</v>
      </c>
      <c r="CB19" s="408">
        <v>4278</v>
      </c>
      <c r="CC19" s="408">
        <v>22839</v>
      </c>
      <c r="CD19" s="408">
        <v>1290</v>
      </c>
      <c r="CE19" s="29">
        <v>24129</v>
      </c>
      <c r="CF19" s="6"/>
      <c r="CG19" s="27">
        <v>9642</v>
      </c>
      <c r="CH19" s="408">
        <v>3004</v>
      </c>
      <c r="CI19" s="408">
        <v>12646</v>
      </c>
      <c r="CJ19" s="408">
        <v>11092</v>
      </c>
      <c r="CK19" s="408">
        <v>23738</v>
      </c>
      <c r="CL19" s="408">
        <v>1798</v>
      </c>
      <c r="CM19" s="29">
        <v>25536</v>
      </c>
      <c r="CN19" s="28"/>
      <c r="CO19" s="27">
        <v>4489</v>
      </c>
      <c r="CP19" s="408">
        <v>4534</v>
      </c>
      <c r="CQ19" s="408">
        <v>9023</v>
      </c>
      <c r="CR19" s="408">
        <v>6988</v>
      </c>
      <c r="CS19" s="408">
        <v>16011</v>
      </c>
      <c r="CT19" s="408">
        <v>10497</v>
      </c>
      <c r="CU19" s="29">
        <v>26508</v>
      </c>
      <c r="CV19" s="28"/>
      <c r="CW19" s="27">
        <v>5324</v>
      </c>
      <c r="CX19" s="408">
        <v>4201</v>
      </c>
      <c r="CY19" s="408">
        <v>9525</v>
      </c>
      <c r="CZ19" s="408">
        <v>4976</v>
      </c>
      <c r="DA19" s="408">
        <v>14501</v>
      </c>
      <c r="DB19" s="408">
        <v>4638</v>
      </c>
      <c r="DC19" s="29">
        <v>19139</v>
      </c>
      <c r="DD19" s="28"/>
      <c r="DE19" s="27">
        <v>5969</v>
      </c>
      <c r="DF19" s="408">
        <v>7686</v>
      </c>
      <c r="DG19" s="408">
        <v>13655</v>
      </c>
      <c r="DH19" s="408">
        <v>5906</v>
      </c>
      <c r="DI19" s="408">
        <v>19561</v>
      </c>
      <c r="DJ19" s="408">
        <v>5376</v>
      </c>
      <c r="DK19" s="29">
        <v>24937</v>
      </c>
      <c r="DL19" s="28"/>
      <c r="DM19" s="27">
        <v>2061</v>
      </c>
      <c r="DN19" s="408">
        <v>1829</v>
      </c>
      <c r="DO19" s="408">
        <v>3890</v>
      </c>
      <c r="DP19" s="408">
        <v>2131</v>
      </c>
      <c r="DQ19" s="408">
        <v>6021</v>
      </c>
      <c r="DR19" s="408">
        <v>6488</v>
      </c>
      <c r="DS19" s="29">
        <v>12509</v>
      </c>
      <c r="DT19" s="28"/>
      <c r="DU19" s="27">
        <v>2223</v>
      </c>
      <c r="DV19" s="408">
        <v>2386</v>
      </c>
      <c r="DW19" s="408">
        <v>4609</v>
      </c>
      <c r="DX19" s="408">
        <v>2449</v>
      </c>
      <c r="DY19" s="408">
        <v>7058</v>
      </c>
      <c r="DZ19" s="408">
        <v>2580</v>
      </c>
      <c r="EA19" s="29">
        <v>9638</v>
      </c>
      <c r="EB19" s="28"/>
      <c r="EC19" s="27">
        <v>2942</v>
      </c>
      <c r="ED19" s="408">
        <v>2214</v>
      </c>
      <c r="EE19" s="408">
        <v>5156</v>
      </c>
      <c r="EF19" s="408">
        <v>2215</v>
      </c>
      <c r="EG19" s="408">
        <v>7371</v>
      </c>
      <c r="EH19" s="408">
        <v>2319</v>
      </c>
      <c r="EI19" s="29">
        <v>9690</v>
      </c>
      <c r="EJ19" s="28"/>
      <c r="EK19" s="27">
        <v>3981</v>
      </c>
      <c r="EL19" s="408">
        <v>4015</v>
      </c>
      <c r="EM19" s="408">
        <v>7995</v>
      </c>
      <c r="EN19" s="408">
        <v>3208</v>
      </c>
      <c r="EO19" s="408">
        <v>11203</v>
      </c>
      <c r="EP19" s="408">
        <v>3578</v>
      </c>
      <c r="EQ19" s="29">
        <v>14781</v>
      </c>
      <c r="ER19" s="28"/>
      <c r="ES19" s="27">
        <v>865</v>
      </c>
      <c r="ET19" s="408">
        <v>750</v>
      </c>
      <c r="EU19" s="408">
        <v>1615</v>
      </c>
      <c r="EV19" s="408">
        <v>295</v>
      </c>
      <c r="EW19" s="408">
        <v>1910</v>
      </c>
      <c r="EX19" s="408">
        <v>1885</v>
      </c>
      <c r="EY19" s="23">
        <v>3795</v>
      </c>
      <c r="EZ19" s="28"/>
      <c r="FA19" s="27">
        <v>1045</v>
      </c>
      <c r="FB19" s="408">
        <v>2175</v>
      </c>
      <c r="FC19" s="408">
        <v>3220</v>
      </c>
      <c r="FD19" s="408">
        <v>2449</v>
      </c>
      <c r="FE19" s="29">
        <v>5669</v>
      </c>
    </row>
    <row r="20" spans="1:169" ht="15" customHeight="1" outlineLevel="1" x14ac:dyDescent="0.25">
      <c r="A20" s="6" t="s">
        <v>20</v>
      </c>
      <c r="B20" s="349">
        <v>-19970.827000000001</v>
      </c>
      <c r="C20" s="6"/>
      <c r="D20" s="379">
        <v>-39893.527000000002</v>
      </c>
      <c r="E20" s="542">
        <v>-41041.841999999997</v>
      </c>
      <c r="F20" s="542">
        <v>-80935.369000000006</v>
      </c>
      <c r="G20" s="542">
        <v>-40752.71</v>
      </c>
      <c r="H20" s="542">
        <v>-121688.079</v>
      </c>
      <c r="I20" s="524">
        <v>-30929.291000000001</v>
      </c>
      <c r="J20" s="618">
        <v>-152617.37</v>
      </c>
      <c r="K20" s="6"/>
      <c r="L20" s="713">
        <f>-39938+2123</f>
        <v>-37815</v>
      </c>
      <c r="M20" s="626">
        <v>-38771</v>
      </c>
      <c r="N20" s="626">
        <v>-76587</v>
      </c>
      <c r="O20" s="626">
        <v>-39258</v>
      </c>
      <c r="P20" s="626">
        <v>-115845</v>
      </c>
      <c r="Q20" s="426">
        <v>-41740</v>
      </c>
      <c r="R20" s="627">
        <v>-157585</v>
      </c>
      <c r="S20" s="795"/>
      <c r="T20" s="313">
        <v>-29318</v>
      </c>
      <c r="U20" s="426">
        <f>V20-T20</f>
        <v>-31067</v>
      </c>
      <c r="V20" s="426">
        <v>-60385</v>
      </c>
      <c r="W20" s="426">
        <f>X20-V20</f>
        <v>-32564</v>
      </c>
      <c r="X20" s="441">
        <v>-92949</v>
      </c>
      <c r="Y20" s="426">
        <f>Z20-X20</f>
        <v>-33291</v>
      </c>
      <c r="Z20" s="106">
        <v>-126240</v>
      </c>
      <c r="AA20" s="404"/>
      <c r="AB20" s="313">
        <f>-16971</f>
        <v>-16971</v>
      </c>
      <c r="AC20" s="426">
        <f>AD20-AB20</f>
        <v>-17664</v>
      </c>
      <c r="AD20" s="441">
        <v>-34635</v>
      </c>
      <c r="AE20" s="441">
        <f>AF20-AD20</f>
        <v>-23592</v>
      </c>
      <c r="AF20" s="441">
        <v>-58227</v>
      </c>
      <c r="AG20" s="441">
        <f>AH20-AF20</f>
        <v>-27924</v>
      </c>
      <c r="AH20" s="106">
        <v>-86151</v>
      </c>
      <c r="AI20" s="406"/>
      <c r="AJ20" s="6" t="s">
        <v>20</v>
      </c>
      <c r="AK20" s="27">
        <v>-18707</v>
      </c>
      <c r="AL20" s="408">
        <v>-18170</v>
      </c>
      <c r="AM20" s="408">
        <v>-36877</v>
      </c>
      <c r="AN20" s="408">
        <v>-16357</v>
      </c>
      <c r="AO20" s="408">
        <v>-53234</v>
      </c>
      <c r="AP20" s="408">
        <f>AQ20-AO20</f>
        <v>-20748</v>
      </c>
      <c r="AQ20" s="29">
        <f>-66765-7217</f>
        <v>-73982</v>
      </c>
      <c r="AR20" s="6"/>
      <c r="AS20" s="27">
        <v>-17732</v>
      </c>
      <c r="AT20" s="408">
        <v>-16900</v>
      </c>
      <c r="AU20" s="408">
        <v>-34632</v>
      </c>
      <c r="AV20" s="408">
        <v>-16796</v>
      </c>
      <c r="AW20" s="408">
        <v>-51428</v>
      </c>
      <c r="AX20" s="408">
        <v>-19021</v>
      </c>
      <c r="AY20" s="29">
        <v>-70449</v>
      </c>
      <c r="AZ20" s="408"/>
      <c r="BA20" s="27">
        <v>-25464</v>
      </c>
      <c r="BB20" s="408">
        <v>-15989</v>
      </c>
      <c r="BC20" s="408">
        <v>-41453</v>
      </c>
      <c r="BD20" s="408">
        <v>-20156</v>
      </c>
      <c r="BE20" s="408">
        <v>-61609</v>
      </c>
      <c r="BF20" s="408">
        <v>-18947</v>
      </c>
      <c r="BG20" s="29">
        <v>-80556</v>
      </c>
      <c r="BH20" s="6"/>
      <c r="BI20" s="27">
        <v>-21147</v>
      </c>
      <c r="BJ20" s="408">
        <v>-25312</v>
      </c>
      <c r="BK20" s="408">
        <v>-46459</v>
      </c>
      <c r="BL20" s="408">
        <v>-26428</v>
      </c>
      <c r="BM20" s="408">
        <v>-72887</v>
      </c>
      <c r="BN20" s="408">
        <v>-27359</v>
      </c>
      <c r="BO20" s="29">
        <v>-100246</v>
      </c>
      <c r="BP20" s="6"/>
      <c r="BQ20" s="27">
        <v>-15503</v>
      </c>
      <c r="BR20" s="408">
        <v>-16272</v>
      </c>
      <c r="BS20" s="408">
        <v>-31775</v>
      </c>
      <c r="BT20" s="408">
        <v>-17522</v>
      </c>
      <c r="BU20" s="408">
        <v>-49297</v>
      </c>
      <c r="BV20" s="408">
        <v>-17514</v>
      </c>
      <c r="BW20" s="29">
        <v>-66811</v>
      </c>
      <c r="BX20" s="6"/>
      <c r="BY20" s="27">
        <v>-10426</v>
      </c>
      <c r="BZ20" s="408">
        <v>-12292</v>
      </c>
      <c r="CA20" s="408">
        <v>-22718</v>
      </c>
      <c r="CB20" s="408">
        <v>-14667</v>
      </c>
      <c r="CC20" s="408">
        <v>-37385</v>
      </c>
      <c r="CD20" s="408">
        <v>-15224</v>
      </c>
      <c r="CE20" s="29">
        <v>-52609</v>
      </c>
      <c r="CF20" s="6"/>
      <c r="CG20" s="27">
        <v>-12463</v>
      </c>
      <c r="CH20" s="408">
        <v>-12273</v>
      </c>
      <c r="CI20" s="408">
        <v>-24736</v>
      </c>
      <c r="CJ20" s="408">
        <v>-11533</v>
      </c>
      <c r="CK20" s="408">
        <v>-36269</v>
      </c>
      <c r="CL20" s="408">
        <v>-10142</v>
      </c>
      <c r="CM20" s="29">
        <v>-46411</v>
      </c>
      <c r="CN20" s="28"/>
      <c r="CO20" s="27">
        <v>-9312</v>
      </c>
      <c r="CP20" s="408">
        <v>-9334</v>
      </c>
      <c r="CQ20" s="408">
        <v>-18646</v>
      </c>
      <c r="CR20" s="408">
        <v>-10164</v>
      </c>
      <c r="CS20" s="408">
        <v>-28810</v>
      </c>
      <c r="CT20" s="408">
        <v>-13382</v>
      </c>
      <c r="CU20" s="29">
        <v>-42192</v>
      </c>
      <c r="CV20" s="28"/>
      <c r="CW20" s="27">
        <v>-10796</v>
      </c>
      <c r="CX20" s="408">
        <v>-10867</v>
      </c>
      <c r="CY20" s="408">
        <v>-21663</v>
      </c>
      <c r="CZ20" s="408">
        <v>-10061</v>
      </c>
      <c r="DA20" s="408">
        <v>-31724</v>
      </c>
      <c r="DB20" s="408">
        <v>-9467</v>
      </c>
      <c r="DC20" s="29">
        <v>-41191</v>
      </c>
      <c r="DD20" s="28"/>
      <c r="DE20" s="27">
        <v>-8830</v>
      </c>
      <c r="DF20" s="408">
        <v>-10241</v>
      </c>
      <c r="DG20" s="408">
        <v>-19071</v>
      </c>
      <c r="DH20" s="408">
        <v>-10868</v>
      </c>
      <c r="DI20" s="408">
        <v>-29939</v>
      </c>
      <c r="DJ20" s="408">
        <v>-10507</v>
      </c>
      <c r="DK20" s="29">
        <v>-40446</v>
      </c>
      <c r="DL20" s="28"/>
      <c r="DM20" s="27">
        <v>-6249</v>
      </c>
      <c r="DN20" s="408">
        <v>-6030</v>
      </c>
      <c r="DO20" s="408">
        <v>-12279</v>
      </c>
      <c r="DP20" s="408">
        <v>-7172</v>
      </c>
      <c r="DQ20" s="408">
        <v>-19451</v>
      </c>
      <c r="DR20" s="408">
        <v>-8627</v>
      </c>
      <c r="DS20" s="29">
        <v>-28078</v>
      </c>
      <c r="DT20" s="28"/>
      <c r="DU20" s="27">
        <v>-4882</v>
      </c>
      <c r="DV20" s="408">
        <v>-6072</v>
      </c>
      <c r="DW20" s="408">
        <v>-10954</v>
      </c>
      <c r="DX20" s="408">
        <v>-6272</v>
      </c>
      <c r="DY20" s="408">
        <v>-17226</v>
      </c>
      <c r="DZ20" s="408">
        <v>-7227</v>
      </c>
      <c r="EA20" s="29">
        <v>-24453</v>
      </c>
      <c r="EB20" s="28"/>
      <c r="EC20" s="27">
        <v>-5705</v>
      </c>
      <c r="ED20" s="408">
        <v>-5670</v>
      </c>
      <c r="EE20" s="408">
        <v>-11375</v>
      </c>
      <c r="EF20" s="408">
        <v>-5248</v>
      </c>
      <c r="EG20" s="408">
        <v>-16623</v>
      </c>
      <c r="EH20" s="408">
        <v>-5218</v>
      </c>
      <c r="EI20" s="29">
        <v>-21841</v>
      </c>
      <c r="EJ20" s="28"/>
      <c r="EK20" s="27">
        <v>-9439</v>
      </c>
      <c r="EL20" s="408">
        <v>-7746</v>
      </c>
      <c r="EM20" s="408">
        <v>-16056</v>
      </c>
      <c r="EN20" s="408">
        <v>-7687</v>
      </c>
      <c r="EO20" s="408">
        <v>-23743</v>
      </c>
      <c r="EP20" s="408">
        <v>-7545</v>
      </c>
      <c r="EQ20" s="29">
        <v>-31288</v>
      </c>
      <c r="ER20" s="28"/>
      <c r="ES20" s="27">
        <v>-4273</v>
      </c>
      <c r="ET20" s="408">
        <v>-5567</v>
      </c>
      <c r="EU20" s="408">
        <v>-9840</v>
      </c>
      <c r="EV20" s="408">
        <v>-5890</v>
      </c>
      <c r="EW20" s="408">
        <v>-15730</v>
      </c>
      <c r="EX20" s="408">
        <v>-8082</v>
      </c>
      <c r="EY20" s="29">
        <v>-23812</v>
      </c>
      <c r="EZ20" s="28"/>
      <c r="FA20" s="27">
        <v>-2293</v>
      </c>
      <c r="FB20" s="408">
        <v>-4653</v>
      </c>
      <c r="FC20" s="408">
        <v>-6946</v>
      </c>
      <c r="FD20" s="408">
        <v>-5235</v>
      </c>
      <c r="FE20" s="29">
        <v>-12181</v>
      </c>
    </row>
    <row r="21" spans="1:169" s="14" customFormat="1" outlineLevel="1" x14ac:dyDescent="0.25">
      <c r="A21" s="765" t="s">
        <v>266</v>
      </c>
      <c r="B21" s="767">
        <v>2047.1849999999999</v>
      </c>
      <c r="C21" s="12"/>
      <c r="D21" s="766">
        <v>1124.5150000000001</v>
      </c>
      <c r="E21" s="614">
        <v>971.63699999999994</v>
      </c>
      <c r="F21" s="614">
        <v>2096.152</v>
      </c>
      <c r="G21" s="449">
        <v>825.76099999999997</v>
      </c>
      <c r="H21" s="449">
        <v>2921.913</v>
      </c>
      <c r="I21" s="449">
        <v>1129.6869999999999</v>
      </c>
      <c r="J21" s="37">
        <v>4051.6</v>
      </c>
      <c r="K21" s="12"/>
      <c r="L21" s="784">
        <v>1004.616</v>
      </c>
      <c r="M21" s="614">
        <v>1004.616</v>
      </c>
      <c r="N21" s="614">
        <v>2009.232</v>
      </c>
      <c r="O21" s="614">
        <v>1004.616</v>
      </c>
      <c r="P21" s="614">
        <v>3013.848</v>
      </c>
      <c r="Q21" s="614">
        <v>1004.616</v>
      </c>
      <c r="R21" s="618">
        <f>4018.464</f>
        <v>4018.4639999999999</v>
      </c>
      <c r="S21" s="12"/>
      <c r="T21" s="83">
        <v>1004.616</v>
      </c>
      <c r="U21" s="449">
        <v>1024.6199999999999</v>
      </c>
      <c r="V21" s="449">
        <v>2029.2360000000001</v>
      </c>
      <c r="W21" s="449">
        <v>1004.616</v>
      </c>
      <c r="X21" s="449">
        <v>3033.8519999999999</v>
      </c>
      <c r="Y21" s="449">
        <v>1004.616</v>
      </c>
      <c r="Z21" s="37">
        <v>4038.4679999999998</v>
      </c>
      <c r="AA21" s="274"/>
      <c r="AB21" s="83">
        <v>865.65899999999999</v>
      </c>
      <c r="AC21" s="449">
        <v>865.65899999999999</v>
      </c>
      <c r="AD21" s="449">
        <v>1731.318</v>
      </c>
      <c r="AE21" s="449">
        <v>1003.706</v>
      </c>
      <c r="AF21" s="449">
        <v>2735.0239999999999</v>
      </c>
      <c r="AG21" s="449">
        <v>1004.616</v>
      </c>
      <c r="AH21" s="37">
        <v>3739.64</v>
      </c>
      <c r="AI21" s="406"/>
      <c r="AJ21" s="274"/>
      <c r="AK21" s="25"/>
      <c r="AL21" s="406"/>
      <c r="AM21" s="406"/>
      <c r="AN21" s="406"/>
      <c r="AO21" s="406"/>
      <c r="AP21" s="406"/>
      <c r="AQ21" s="21"/>
      <c r="AR21" s="12"/>
      <c r="AS21" s="25"/>
      <c r="AT21" s="406"/>
      <c r="AU21" s="406"/>
      <c r="AV21" s="406"/>
      <c r="AW21" s="406"/>
      <c r="AX21" s="406"/>
      <c r="AY21" s="21"/>
      <c r="AZ21" s="406"/>
      <c r="BA21" s="25"/>
      <c r="BB21" s="406"/>
      <c r="BC21" s="406"/>
      <c r="BD21" s="406"/>
      <c r="BE21" s="406"/>
      <c r="BF21" s="406"/>
      <c r="BG21" s="21"/>
      <c r="BH21" s="12"/>
      <c r="BI21" s="25"/>
      <c r="BJ21" s="406"/>
      <c r="BK21" s="406"/>
      <c r="BL21" s="406"/>
      <c r="BM21" s="406"/>
      <c r="BN21" s="406"/>
      <c r="BO21" s="21"/>
      <c r="BP21" s="12"/>
      <c r="BQ21" s="25"/>
      <c r="BR21" s="406"/>
      <c r="BS21" s="406"/>
      <c r="BT21" s="406"/>
      <c r="BU21" s="406"/>
      <c r="BV21" s="406"/>
      <c r="BW21" s="21"/>
      <c r="BX21" s="12"/>
      <c r="BY21" s="25"/>
      <c r="BZ21" s="406"/>
      <c r="CA21" s="406"/>
      <c r="CB21" s="406"/>
      <c r="CC21" s="406"/>
      <c r="CD21" s="406"/>
      <c r="CE21" s="21"/>
      <c r="CF21" s="12"/>
      <c r="CG21" s="25"/>
      <c r="CH21" s="406"/>
      <c r="CI21" s="406"/>
      <c r="CJ21" s="406"/>
      <c r="CK21" s="406"/>
      <c r="CL21" s="406"/>
      <c r="CM21" s="21"/>
      <c r="CN21" s="20"/>
      <c r="CO21" s="25"/>
      <c r="CP21" s="406"/>
      <c r="CQ21" s="406"/>
      <c r="CR21" s="406"/>
      <c r="CS21" s="406"/>
      <c r="CT21" s="406"/>
      <c r="CU21" s="21"/>
      <c r="CV21" s="20"/>
      <c r="CW21" s="25"/>
      <c r="CX21" s="406"/>
      <c r="CY21" s="406"/>
      <c r="CZ21" s="406"/>
      <c r="DA21" s="406"/>
      <c r="DB21" s="406"/>
      <c r="DC21" s="21"/>
      <c r="DD21" s="20"/>
      <c r="DE21" s="25"/>
      <c r="DF21" s="406"/>
      <c r="DG21" s="406"/>
      <c r="DH21" s="406"/>
      <c r="DI21" s="406"/>
      <c r="DJ21" s="406"/>
      <c r="DK21" s="21"/>
      <c r="DL21" s="20"/>
      <c r="DM21" s="25"/>
      <c r="DN21" s="406"/>
      <c r="DO21" s="406"/>
      <c r="DP21" s="406"/>
      <c r="DQ21" s="406"/>
      <c r="DR21" s="406"/>
      <c r="DS21" s="21"/>
      <c r="DT21" s="20"/>
      <c r="DU21" s="25"/>
      <c r="DV21" s="406"/>
      <c r="DW21" s="406"/>
      <c r="DX21" s="406"/>
      <c r="DY21" s="406"/>
      <c r="DZ21" s="406"/>
      <c r="EA21" s="21"/>
      <c r="EB21" s="20"/>
      <c r="EC21" s="25"/>
      <c r="ED21" s="406"/>
      <c r="EE21" s="406"/>
      <c r="EF21" s="406"/>
      <c r="EG21" s="406"/>
      <c r="EH21" s="406"/>
      <c r="EI21" s="21"/>
      <c r="EJ21" s="20"/>
      <c r="EK21" s="25"/>
      <c r="EL21" s="406"/>
      <c r="EM21" s="406"/>
      <c r="EN21" s="406"/>
      <c r="EO21" s="406"/>
      <c r="EP21" s="406"/>
      <c r="EQ21" s="21"/>
      <c r="ER21" s="20"/>
      <c r="ES21" s="25"/>
      <c r="ET21" s="406"/>
      <c r="EU21" s="406"/>
      <c r="EV21" s="406"/>
      <c r="EW21" s="406"/>
      <c r="EX21" s="406"/>
      <c r="EY21" s="21"/>
      <c r="EZ21" s="20"/>
      <c r="FA21" s="25"/>
      <c r="FB21" s="406"/>
      <c r="FC21" s="406"/>
      <c r="FD21" s="406"/>
      <c r="FE21" s="21"/>
      <c r="FF21" s="4"/>
      <c r="FG21" s="4"/>
      <c r="FH21" s="4"/>
      <c r="FI21" s="4"/>
      <c r="FJ21" s="4"/>
      <c r="FK21" s="4"/>
      <c r="FL21" s="4"/>
      <c r="FM21" s="4"/>
    </row>
    <row r="22" spans="1:169" s="274" customFormat="1" outlineLevel="1" x14ac:dyDescent="0.25">
      <c r="A22" s="274" t="s">
        <v>261</v>
      </c>
      <c r="B22" s="768">
        <v>0</v>
      </c>
      <c r="D22" s="471">
        <v>0</v>
      </c>
      <c r="E22" s="677">
        <v>2826.6439999999998</v>
      </c>
      <c r="F22" s="677">
        <v>2826.6439999999998</v>
      </c>
      <c r="G22" s="470">
        <v>0</v>
      </c>
      <c r="H22" s="470">
        <v>2826.6439999999998</v>
      </c>
      <c r="I22" s="470">
        <v>0</v>
      </c>
      <c r="J22" s="472">
        <v>2826.6439999999998</v>
      </c>
      <c r="L22" s="793"/>
      <c r="R22" s="315"/>
      <c r="T22" s="304"/>
      <c r="Z22" s="798">
        <v>0</v>
      </c>
      <c r="AB22" s="471">
        <v>0</v>
      </c>
      <c r="AC22" s="470">
        <v>0</v>
      </c>
      <c r="AD22" s="470">
        <v>0</v>
      </c>
      <c r="AE22" s="470">
        <f>AF22-AD22</f>
        <v>534</v>
      </c>
      <c r="AF22" s="470">
        <v>534</v>
      </c>
      <c r="AG22" s="470">
        <f>AH22-AF22</f>
        <v>0</v>
      </c>
      <c r="AH22" s="472">
        <v>534</v>
      </c>
      <c r="AK22" s="304"/>
      <c r="AQ22" s="315"/>
      <c r="AS22" s="304"/>
      <c r="AY22" s="315"/>
      <c r="BA22" s="304"/>
      <c r="BG22" s="315"/>
      <c r="BI22" s="304"/>
      <c r="BO22" s="315"/>
      <c r="BQ22" s="304"/>
      <c r="BW22" s="315"/>
      <c r="BY22" s="304"/>
      <c r="CE22" s="315"/>
      <c r="CG22" s="304"/>
      <c r="CM22" s="315"/>
      <c r="CO22" s="304"/>
      <c r="CU22" s="315"/>
      <c r="CW22" s="304"/>
      <c r="DC22" s="315"/>
      <c r="DE22" s="304"/>
      <c r="DK22" s="315"/>
      <c r="DM22" s="304"/>
      <c r="DS22" s="315"/>
      <c r="DU22" s="304"/>
      <c r="EA22" s="315"/>
      <c r="EC22" s="304"/>
      <c r="EI22" s="315"/>
      <c r="EK22" s="304"/>
      <c r="EQ22" s="315"/>
      <c r="ES22" s="304"/>
      <c r="EY22" s="315"/>
      <c r="FA22" s="304"/>
      <c r="FE22" s="315"/>
      <c r="FF22" s="4"/>
      <c r="FG22" s="4"/>
      <c r="FH22" s="4"/>
      <c r="FI22" s="4"/>
      <c r="FJ22" s="4"/>
      <c r="FK22" s="4"/>
      <c r="FL22" s="4"/>
      <c r="FM22" s="4"/>
    </row>
    <row r="23" spans="1:169" ht="15" customHeight="1" outlineLevel="1" x14ac:dyDescent="0.25">
      <c r="A23" s="6" t="s">
        <v>259</v>
      </c>
      <c r="B23" s="729">
        <v>-603.51400000000001</v>
      </c>
      <c r="C23" s="6"/>
      <c r="D23" s="379">
        <v>-1050.4680000000001</v>
      </c>
      <c r="E23" s="542">
        <v>-1078.6410000000001</v>
      </c>
      <c r="F23" s="542">
        <v>-2129.1089999999999</v>
      </c>
      <c r="G23" s="449">
        <v>-1075.3589999999999</v>
      </c>
      <c r="H23" s="449">
        <v>-3204.4679999999998</v>
      </c>
      <c r="I23" s="449">
        <v>-4382.0600000000004</v>
      </c>
      <c r="J23" s="37">
        <v>-7586.5280000000002</v>
      </c>
      <c r="K23" s="6"/>
      <c r="L23" s="713">
        <v>-750.14499999999998</v>
      </c>
      <c r="M23" s="626">
        <f>-825.092</f>
        <v>-825.09199999999998</v>
      </c>
      <c r="N23" s="626">
        <f>-1575.237</f>
        <v>-1575.2370000000001</v>
      </c>
      <c r="O23" s="626">
        <v>-886.93100000000004</v>
      </c>
      <c r="P23" s="626">
        <f>-2462</f>
        <v>-2462</v>
      </c>
      <c r="Q23" s="626">
        <f>R23-P23</f>
        <v>-1318.15</v>
      </c>
      <c r="R23" s="627">
        <v>-3780.15</v>
      </c>
      <c r="S23" s="795"/>
      <c r="T23" s="83">
        <v>-1185.4680000000001</v>
      </c>
      <c r="U23" s="449">
        <v>-715.14</v>
      </c>
      <c r="V23" s="449">
        <v>-1900.6079999999999</v>
      </c>
      <c r="W23" s="449">
        <v>-666.82</v>
      </c>
      <c r="X23" s="449">
        <v>-2567.4279999999999</v>
      </c>
      <c r="Y23" s="449">
        <v>-1405.3489999999999</v>
      </c>
      <c r="Z23" s="37">
        <v>-3972.777</v>
      </c>
      <c r="AA23" s="404"/>
      <c r="AB23" s="83">
        <v>-559.82117000000005</v>
      </c>
      <c r="AC23" s="449">
        <v>-594.16404999999997</v>
      </c>
      <c r="AD23" s="449">
        <v>-1153.98522</v>
      </c>
      <c r="AE23" s="449">
        <v>-719.59136999999998</v>
      </c>
      <c r="AF23" s="449">
        <v>-1873.5765899999999</v>
      </c>
      <c r="AG23" s="449">
        <v>-731.77800000000002</v>
      </c>
      <c r="AH23" s="37">
        <v>-2605.3545899999999</v>
      </c>
      <c r="AI23" s="406"/>
      <c r="AJ23" s="6" t="s">
        <v>18</v>
      </c>
      <c r="AK23" s="27">
        <v>279</v>
      </c>
      <c r="AL23" s="408">
        <v>33533</v>
      </c>
      <c r="AM23" s="408">
        <v>33812</v>
      </c>
      <c r="AN23" s="408">
        <v>-151</v>
      </c>
      <c r="AO23" s="408">
        <v>33661</v>
      </c>
      <c r="AP23" s="408">
        <f>AQ23-AO23</f>
        <v>380</v>
      </c>
      <c r="AQ23" s="29">
        <f>34041</f>
        <v>34041</v>
      </c>
      <c r="AR23" s="6"/>
      <c r="AS23" s="27">
        <v>102</v>
      </c>
      <c r="AT23" s="408">
        <v>160</v>
      </c>
      <c r="AU23" s="408">
        <v>262</v>
      </c>
      <c r="AV23" s="408">
        <v>205</v>
      </c>
      <c r="AW23" s="408">
        <v>467</v>
      </c>
      <c r="AX23" s="408">
        <v>-66</v>
      </c>
      <c r="AY23" s="29">
        <v>401</v>
      </c>
      <c r="AZ23" s="408"/>
      <c r="BA23" s="27">
        <v>6230</v>
      </c>
      <c r="BB23" s="408">
        <v>-521</v>
      </c>
      <c r="BC23" s="408">
        <v>5709</v>
      </c>
      <c r="BD23" s="408">
        <v>10947</v>
      </c>
      <c r="BE23" s="408">
        <v>16656</v>
      </c>
      <c r="BF23" s="408">
        <v>7546</v>
      </c>
      <c r="BG23" s="29">
        <v>24202</v>
      </c>
      <c r="BH23" s="6"/>
      <c r="BI23" s="27">
        <v>1818</v>
      </c>
      <c r="BJ23" s="408">
        <v>2000</v>
      </c>
      <c r="BK23" s="408">
        <v>3818</v>
      </c>
      <c r="BL23" s="408">
        <v>-554</v>
      </c>
      <c r="BM23" s="408">
        <v>3264</v>
      </c>
      <c r="BN23" s="408">
        <v>3050</v>
      </c>
      <c r="BO23" s="29">
        <v>6314</v>
      </c>
      <c r="BP23" s="6"/>
      <c r="BQ23" s="27">
        <v>5245</v>
      </c>
      <c r="BR23" s="408">
        <v>-740</v>
      </c>
      <c r="BS23" s="408">
        <v>4505</v>
      </c>
      <c r="BT23" s="408">
        <v>-1477</v>
      </c>
      <c r="BU23" s="408">
        <v>3028</v>
      </c>
      <c r="BV23" s="408">
        <v>908</v>
      </c>
      <c r="BW23" s="29">
        <v>3936</v>
      </c>
      <c r="BX23" s="6"/>
      <c r="BY23" s="27">
        <v>7274</v>
      </c>
      <c r="BZ23" s="408">
        <v>-18817</v>
      </c>
      <c r="CA23" s="408">
        <v>-11543</v>
      </c>
      <c r="CB23" s="408">
        <v>-49769</v>
      </c>
      <c r="CC23" s="408">
        <v>-61312</v>
      </c>
      <c r="CD23" s="408">
        <v>-16297</v>
      </c>
      <c r="CE23" s="29">
        <v>-77609</v>
      </c>
      <c r="CF23" s="6"/>
      <c r="CG23" s="27">
        <v>13354</v>
      </c>
      <c r="CH23" s="408">
        <v>-11272</v>
      </c>
      <c r="CI23" s="408">
        <v>2082</v>
      </c>
      <c r="CJ23" s="408">
        <v>-12013</v>
      </c>
      <c r="CK23" s="408">
        <v>-9931</v>
      </c>
      <c r="CL23" s="408">
        <v>6294</v>
      </c>
      <c r="CM23" s="29">
        <v>-3637</v>
      </c>
      <c r="CN23" s="28"/>
      <c r="CO23" s="27">
        <v>31</v>
      </c>
      <c r="CP23" s="408">
        <v>2188</v>
      </c>
      <c r="CQ23" s="408">
        <v>2219</v>
      </c>
      <c r="CR23" s="408">
        <v>-263794</v>
      </c>
      <c r="CS23" s="408">
        <v>-261575</v>
      </c>
      <c r="CT23" s="408">
        <v>-11158</v>
      </c>
      <c r="CU23" s="29">
        <v>-272733</v>
      </c>
      <c r="CV23" s="28"/>
      <c r="CW23" s="27">
        <v>-191</v>
      </c>
      <c r="CX23" s="408">
        <v>1634</v>
      </c>
      <c r="CY23" s="408">
        <v>1443</v>
      </c>
      <c r="CZ23" s="408">
        <v>-1471</v>
      </c>
      <c r="DA23" s="408">
        <v>-28</v>
      </c>
      <c r="DB23" s="408">
        <v>-79</v>
      </c>
      <c r="DC23" s="29">
        <v>-107</v>
      </c>
      <c r="DD23" s="28"/>
      <c r="DE23" s="27">
        <v>-221</v>
      </c>
      <c r="DF23" s="408">
        <v>-484</v>
      </c>
      <c r="DG23" s="408">
        <v>-705</v>
      </c>
      <c r="DH23" s="408">
        <v>-176</v>
      </c>
      <c r="DI23" s="408">
        <v>-881</v>
      </c>
      <c r="DJ23" s="408">
        <v>-146</v>
      </c>
      <c r="DK23" s="29">
        <v>-1027</v>
      </c>
      <c r="DL23" s="28"/>
      <c r="DM23" s="27">
        <v>-342</v>
      </c>
      <c r="DN23" s="408">
        <v>-1</v>
      </c>
      <c r="DO23" s="408">
        <v>-343</v>
      </c>
      <c r="DP23" s="408">
        <v>-7</v>
      </c>
      <c r="DQ23" s="408">
        <v>-350</v>
      </c>
      <c r="DR23" s="408">
        <v>3876</v>
      </c>
      <c r="DS23" s="29">
        <v>2472</v>
      </c>
      <c r="DT23" s="28"/>
      <c r="DU23" s="27">
        <v>83</v>
      </c>
      <c r="DV23" s="408">
        <v>-5</v>
      </c>
      <c r="DW23" s="408">
        <v>78</v>
      </c>
      <c r="DX23" s="408">
        <v>31</v>
      </c>
      <c r="DY23" s="408">
        <v>109</v>
      </c>
      <c r="DZ23" s="408">
        <v>-41</v>
      </c>
      <c r="EA23" s="29">
        <v>68</v>
      </c>
      <c r="EB23" s="28"/>
      <c r="EC23" s="27">
        <v>3831</v>
      </c>
      <c r="ED23" s="408">
        <v>-924</v>
      </c>
      <c r="EE23" s="408">
        <v>2907</v>
      </c>
      <c r="EF23" s="408">
        <v>170</v>
      </c>
      <c r="EG23" s="408">
        <v>3077</v>
      </c>
      <c r="EH23" s="408">
        <v>928</v>
      </c>
      <c r="EI23" s="29">
        <v>4005</v>
      </c>
      <c r="EJ23" s="28"/>
      <c r="EK23" s="27">
        <v>-242</v>
      </c>
      <c r="EL23" s="408">
        <v>167</v>
      </c>
      <c r="EM23" s="408">
        <v>339</v>
      </c>
      <c r="EN23" s="408">
        <v>130</v>
      </c>
      <c r="EO23" s="408">
        <v>469</v>
      </c>
      <c r="EP23" s="408">
        <v>137</v>
      </c>
      <c r="EQ23" s="29">
        <v>606</v>
      </c>
      <c r="ER23" s="28"/>
      <c r="ES23" s="27">
        <v>307</v>
      </c>
      <c r="ET23" s="408">
        <v>243</v>
      </c>
      <c r="EU23" s="408">
        <v>550</v>
      </c>
      <c r="EV23" s="408">
        <v>-90</v>
      </c>
      <c r="EW23" s="408">
        <v>460</v>
      </c>
      <c r="EX23" s="408">
        <v>385</v>
      </c>
      <c r="EY23" s="23">
        <v>845</v>
      </c>
      <c r="EZ23" s="28"/>
      <c r="FA23" s="27">
        <v>-632</v>
      </c>
      <c r="FB23" s="408">
        <v>332</v>
      </c>
      <c r="FC23" s="408">
        <v>-300</v>
      </c>
      <c r="FD23" s="408">
        <v>8306</v>
      </c>
      <c r="FE23" s="29">
        <v>8006</v>
      </c>
    </row>
    <row r="24" spans="1:169" ht="15" customHeight="1" outlineLevel="1" x14ac:dyDescent="0.25">
      <c r="A24" s="6" t="s">
        <v>21</v>
      </c>
      <c r="B24" s="577">
        <v>0</v>
      </c>
      <c r="C24" s="6"/>
      <c r="D24" s="24">
        <v>0</v>
      </c>
      <c r="E24" s="612">
        <v>0</v>
      </c>
      <c r="F24" s="612">
        <v>0</v>
      </c>
      <c r="G24" s="612">
        <v>9601.5220000000008</v>
      </c>
      <c r="H24" s="612">
        <v>9601.7720000000008</v>
      </c>
      <c r="I24" s="524">
        <v>-30652.128000000001</v>
      </c>
      <c r="J24" s="618">
        <v>-21050.356</v>
      </c>
      <c r="K24" s="6"/>
      <c r="L24" s="783">
        <v>0</v>
      </c>
      <c r="M24" s="715">
        <v>0</v>
      </c>
      <c r="N24" s="715">
        <v>0</v>
      </c>
      <c r="O24" s="715">
        <v>0</v>
      </c>
      <c r="P24" s="715">
        <v>0</v>
      </c>
      <c r="Q24" s="426">
        <f>R24-P24</f>
        <v>-2096</v>
      </c>
      <c r="R24" s="627">
        <v>-2096</v>
      </c>
      <c r="S24" s="795"/>
      <c r="T24" s="714">
        <v>0</v>
      </c>
      <c r="U24" s="716">
        <f t="shared" si="0"/>
        <v>0</v>
      </c>
      <c r="V24" s="716">
        <v>0</v>
      </c>
      <c r="W24" s="716">
        <f t="shared" si="0"/>
        <v>0</v>
      </c>
      <c r="X24" s="716">
        <v>0</v>
      </c>
      <c r="Y24" s="716">
        <f t="shared" si="0"/>
        <v>314</v>
      </c>
      <c r="Z24" s="106">
        <v>314</v>
      </c>
      <c r="AA24" s="404"/>
      <c r="AB24" s="714">
        <v>0</v>
      </c>
      <c r="AC24" s="716">
        <f t="shared" si="1"/>
        <v>-4338</v>
      </c>
      <c r="AD24" s="441">
        <f>-4338</f>
        <v>-4338</v>
      </c>
      <c r="AE24" s="441">
        <f t="shared" si="2"/>
        <v>16457</v>
      </c>
      <c r="AF24" s="441">
        <v>12119</v>
      </c>
      <c r="AG24" s="441">
        <f t="shared" ref="AG24:AG26" si="7">AH24-AF24</f>
        <v>0</v>
      </c>
      <c r="AH24" s="106">
        <v>12119</v>
      </c>
      <c r="AI24" s="406"/>
      <c r="AJ24" s="6" t="s">
        <v>21</v>
      </c>
      <c r="AK24" s="24">
        <v>0</v>
      </c>
      <c r="AL24" s="405">
        <v>0</v>
      </c>
      <c r="AM24" s="405">
        <v>0</v>
      </c>
      <c r="AN24" s="405">
        <v>0</v>
      </c>
      <c r="AO24" s="405">
        <v>0</v>
      </c>
      <c r="AP24" s="405">
        <f t="shared" si="3"/>
        <v>-12119</v>
      </c>
      <c r="AQ24" s="369">
        <v>-12119</v>
      </c>
      <c r="AR24" s="6"/>
      <c r="AS24" s="24">
        <v>0</v>
      </c>
      <c r="AT24" s="405">
        <v>0</v>
      </c>
      <c r="AU24" s="405">
        <v>0</v>
      </c>
      <c r="AV24" s="405">
        <v>0</v>
      </c>
      <c r="AW24" s="405">
        <v>0</v>
      </c>
      <c r="AX24" s="405">
        <v>0</v>
      </c>
      <c r="AY24" s="23">
        <v>0</v>
      </c>
      <c r="AZ24" s="405"/>
      <c r="BA24" s="24">
        <v>0</v>
      </c>
      <c r="BB24" s="405">
        <v>0</v>
      </c>
      <c r="BC24" s="405"/>
      <c r="BD24" s="405">
        <v>0</v>
      </c>
      <c r="BE24" s="405">
        <v>0</v>
      </c>
      <c r="BF24" s="405">
        <v>0</v>
      </c>
      <c r="BG24" s="23">
        <v>0</v>
      </c>
      <c r="BH24" s="6"/>
      <c r="BI24" s="24">
        <v>0</v>
      </c>
      <c r="BJ24" s="405">
        <v>0</v>
      </c>
      <c r="BK24" s="405">
        <v>0</v>
      </c>
      <c r="BL24" s="405">
        <v>0</v>
      </c>
      <c r="BM24" s="405">
        <v>0</v>
      </c>
      <c r="BN24" s="405">
        <v>0</v>
      </c>
      <c r="BO24" s="23">
        <v>0</v>
      </c>
      <c r="BP24" s="6"/>
      <c r="BQ24" s="24">
        <v>0</v>
      </c>
      <c r="BR24" s="405">
        <v>-1</v>
      </c>
      <c r="BS24" s="405">
        <v>-1</v>
      </c>
      <c r="BT24" s="405">
        <v>0</v>
      </c>
      <c r="BU24" s="405">
        <v>-1</v>
      </c>
      <c r="BV24" s="405">
        <v>1</v>
      </c>
      <c r="BW24" s="23">
        <v>0</v>
      </c>
      <c r="BX24" s="6"/>
      <c r="BY24" s="24">
        <v>-2</v>
      </c>
      <c r="BZ24" s="405">
        <v>2</v>
      </c>
      <c r="CA24" s="405">
        <v>0</v>
      </c>
      <c r="CB24" s="405">
        <v>0</v>
      </c>
      <c r="CC24" s="405">
        <v>0</v>
      </c>
      <c r="CD24" s="408">
        <v>0</v>
      </c>
      <c r="CE24" s="23">
        <v>0</v>
      </c>
      <c r="CF24" s="6"/>
      <c r="CG24" s="24">
        <v>-190</v>
      </c>
      <c r="CH24" s="405">
        <v>-96</v>
      </c>
      <c r="CI24" s="405">
        <v>-286</v>
      </c>
      <c r="CJ24" s="405">
        <v>0</v>
      </c>
      <c r="CK24" s="405">
        <v>-286</v>
      </c>
      <c r="CL24" s="408">
        <v>0</v>
      </c>
      <c r="CM24" s="23">
        <v>-286</v>
      </c>
      <c r="CN24" s="22"/>
      <c r="CO24" s="24">
        <v>-2</v>
      </c>
      <c r="CP24" s="408">
        <v>2</v>
      </c>
      <c r="CQ24" s="405">
        <v>0</v>
      </c>
      <c r="CR24" s="405">
        <v>0</v>
      </c>
      <c r="CS24" s="405">
        <v>0</v>
      </c>
      <c r="CT24" s="405">
        <v>-192</v>
      </c>
      <c r="CU24" s="23">
        <v>-192</v>
      </c>
      <c r="CV24" s="22"/>
      <c r="CW24" s="24">
        <v>-26</v>
      </c>
      <c r="CX24" s="405">
        <v>-26</v>
      </c>
      <c r="CY24" s="405">
        <v>-52</v>
      </c>
      <c r="CZ24" s="405">
        <v>-23</v>
      </c>
      <c r="DA24" s="405">
        <v>-75</v>
      </c>
      <c r="DB24" s="405">
        <v>-23</v>
      </c>
      <c r="DC24" s="23">
        <v>-98</v>
      </c>
      <c r="DD24" s="22"/>
      <c r="DE24" s="24">
        <v>-22</v>
      </c>
      <c r="DF24" s="405">
        <v>-21</v>
      </c>
      <c r="DG24" s="405">
        <v>-43</v>
      </c>
      <c r="DH24" s="405">
        <v>-22</v>
      </c>
      <c r="DI24" s="405">
        <v>-65</v>
      </c>
      <c r="DJ24" s="405">
        <v>-22</v>
      </c>
      <c r="DK24" s="23">
        <v>-87</v>
      </c>
      <c r="DL24" s="22"/>
      <c r="DM24" s="24">
        <v>-492</v>
      </c>
      <c r="DN24" s="405">
        <v>-489</v>
      </c>
      <c r="DO24" s="405">
        <v>-981</v>
      </c>
      <c r="DP24" s="405">
        <v>-496</v>
      </c>
      <c r="DQ24" s="405">
        <v>-1477</v>
      </c>
      <c r="DR24" s="405">
        <v>1395</v>
      </c>
      <c r="DS24" s="23">
        <v>-82</v>
      </c>
      <c r="DT24" s="22"/>
      <c r="DU24" s="24">
        <v>-554</v>
      </c>
      <c r="DV24" s="405">
        <v>-522</v>
      </c>
      <c r="DW24" s="405">
        <v>-1076</v>
      </c>
      <c r="DX24" s="405">
        <v>-492</v>
      </c>
      <c r="DY24" s="405">
        <v>-1568</v>
      </c>
      <c r="DZ24" s="405">
        <v>-494</v>
      </c>
      <c r="EA24" s="23">
        <v>-2062</v>
      </c>
      <c r="EB24" s="22"/>
      <c r="EC24" s="24">
        <v>-4204</v>
      </c>
      <c r="ED24" s="405">
        <v>-503</v>
      </c>
      <c r="EE24" s="405">
        <v>-4707</v>
      </c>
      <c r="EF24" s="405">
        <v>-491</v>
      </c>
      <c r="EG24" s="405">
        <v>-5198</v>
      </c>
      <c r="EH24" s="405">
        <v>-553</v>
      </c>
      <c r="EI24" s="23">
        <v>-5751</v>
      </c>
      <c r="EJ24" s="22"/>
      <c r="EK24" s="24">
        <v>-549</v>
      </c>
      <c r="EL24" s="405">
        <v>-451</v>
      </c>
      <c r="EM24" s="405">
        <v>-908</v>
      </c>
      <c r="EN24" s="405">
        <v>-440</v>
      </c>
      <c r="EO24" s="405">
        <v>-1348</v>
      </c>
      <c r="EP24" s="405">
        <v>-482</v>
      </c>
      <c r="EQ24" s="23">
        <v>-1830</v>
      </c>
      <c r="ER24" s="22"/>
      <c r="ES24" s="24">
        <v>-740</v>
      </c>
      <c r="ET24" s="405">
        <v>-549</v>
      </c>
      <c r="EU24" s="405">
        <v>-1289</v>
      </c>
      <c r="EV24" s="405">
        <v>-475</v>
      </c>
      <c r="EW24" s="405">
        <v>-1764</v>
      </c>
      <c r="EX24" s="405">
        <v>-640</v>
      </c>
      <c r="EY24" s="23">
        <v>-2404</v>
      </c>
      <c r="EZ24" s="22"/>
      <c r="FA24" s="24">
        <v>219</v>
      </c>
      <c r="FB24" s="408">
        <v>-550</v>
      </c>
      <c r="FC24" s="405">
        <v>-331</v>
      </c>
      <c r="FD24" s="405">
        <v>-1545</v>
      </c>
      <c r="FE24" s="23">
        <v>-1876</v>
      </c>
    </row>
    <row r="25" spans="1:169" ht="15" customHeight="1" outlineLevel="1" x14ac:dyDescent="0.25">
      <c r="A25" s="6" t="s">
        <v>255</v>
      </c>
      <c r="B25" s="577">
        <v>0</v>
      </c>
      <c r="C25" s="6"/>
      <c r="D25" s="24">
        <v>0</v>
      </c>
      <c r="E25" s="612">
        <v>0</v>
      </c>
      <c r="F25" s="612">
        <v>0</v>
      </c>
      <c r="G25" s="612">
        <v>0</v>
      </c>
      <c r="H25" s="612">
        <v>0</v>
      </c>
      <c r="I25" s="524">
        <v>111876.30899999999</v>
      </c>
      <c r="J25" s="618">
        <v>111876.30899999999</v>
      </c>
      <c r="K25" s="6"/>
      <c r="L25" s="782"/>
      <c r="M25" s="612"/>
      <c r="N25" s="612"/>
      <c r="O25" s="612"/>
      <c r="P25" s="612"/>
      <c r="Q25" s="524"/>
      <c r="R25" s="618"/>
      <c r="S25" s="6"/>
      <c r="T25" s="24"/>
      <c r="U25" s="405"/>
      <c r="V25" s="405"/>
      <c r="W25" s="405"/>
      <c r="X25" s="405"/>
      <c r="Y25" s="405"/>
      <c r="Z25" s="544">
        <v>0</v>
      </c>
      <c r="AA25" s="274"/>
      <c r="AB25" s="24">
        <v>0</v>
      </c>
      <c r="AC25" s="405">
        <v>0</v>
      </c>
      <c r="AD25" s="549">
        <v>0</v>
      </c>
      <c r="AE25" s="549">
        <v>0</v>
      </c>
      <c r="AF25" s="549">
        <v>0</v>
      </c>
      <c r="AG25" s="549">
        <v>0</v>
      </c>
      <c r="AH25" s="544">
        <v>0</v>
      </c>
      <c r="AI25" s="406"/>
      <c r="AJ25" s="6"/>
      <c r="AK25" s="24"/>
      <c r="AL25" s="405"/>
      <c r="AM25" s="405"/>
      <c r="AN25" s="405"/>
      <c r="AO25" s="405"/>
      <c r="AP25" s="405"/>
      <c r="AQ25" s="369"/>
      <c r="AR25" s="6"/>
      <c r="AS25" s="24"/>
      <c r="AT25" s="405"/>
      <c r="AU25" s="405"/>
      <c r="AV25" s="405"/>
      <c r="AW25" s="405"/>
      <c r="AX25" s="405"/>
      <c r="AY25" s="23"/>
      <c r="AZ25" s="405"/>
      <c r="BA25" s="24"/>
      <c r="BB25" s="405"/>
      <c r="BC25" s="405"/>
      <c r="BD25" s="405"/>
      <c r="BE25" s="405"/>
      <c r="BF25" s="405"/>
      <c r="BG25" s="23"/>
      <c r="BH25" s="6"/>
      <c r="BI25" s="24"/>
      <c r="BJ25" s="405"/>
      <c r="BK25" s="405"/>
      <c r="BL25" s="405"/>
      <c r="BM25" s="405"/>
      <c r="BN25" s="405"/>
      <c r="BO25" s="23"/>
      <c r="BP25" s="6"/>
      <c r="BQ25" s="24"/>
      <c r="BR25" s="405"/>
      <c r="BS25" s="405"/>
      <c r="BT25" s="405"/>
      <c r="BU25" s="405"/>
      <c r="BV25" s="405"/>
      <c r="BW25" s="23"/>
      <c r="BX25" s="6"/>
      <c r="BY25" s="24"/>
      <c r="BZ25" s="405"/>
      <c r="CA25" s="405"/>
      <c r="CB25" s="405"/>
      <c r="CC25" s="405"/>
      <c r="CD25" s="408"/>
      <c r="CE25" s="23"/>
      <c r="CF25" s="6"/>
      <c r="CG25" s="24"/>
      <c r="CH25" s="405"/>
      <c r="CI25" s="405"/>
      <c r="CJ25" s="405"/>
      <c r="CK25" s="405"/>
      <c r="CL25" s="408"/>
      <c r="CM25" s="23"/>
      <c r="CN25" s="22"/>
      <c r="CO25" s="24"/>
      <c r="CP25" s="408"/>
      <c r="CQ25" s="405"/>
      <c r="CR25" s="405"/>
      <c r="CS25" s="405"/>
      <c r="CT25" s="405"/>
      <c r="CU25" s="23"/>
      <c r="CV25" s="22"/>
      <c r="CW25" s="24"/>
      <c r="CX25" s="405"/>
      <c r="CY25" s="405"/>
      <c r="CZ25" s="405"/>
      <c r="DA25" s="405"/>
      <c r="DB25" s="405"/>
      <c r="DC25" s="23"/>
      <c r="DD25" s="22"/>
      <c r="DE25" s="24"/>
      <c r="DF25" s="405"/>
      <c r="DG25" s="405"/>
      <c r="DH25" s="405"/>
      <c r="DI25" s="405"/>
      <c r="DJ25" s="405"/>
      <c r="DK25" s="23"/>
      <c r="DL25" s="22"/>
      <c r="DM25" s="24"/>
      <c r="DN25" s="405"/>
      <c r="DO25" s="405"/>
      <c r="DP25" s="405"/>
      <c r="DQ25" s="405"/>
      <c r="DR25" s="405"/>
      <c r="DS25" s="23"/>
      <c r="DT25" s="22"/>
      <c r="DU25" s="24"/>
      <c r="DV25" s="405"/>
      <c r="DW25" s="405"/>
      <c r="DX25" s="405"/>
      <c r="DY25" s="405"/>
      <c r="DZ25" s="405"/>
      <c r="EA25" s="23"/>
      <c r="EB25" s="22"/>
      <c r="EC25" s="24"/>
      <c r="ED25" s="405"/>
      <c r="EE25" s="405"/>
      <c r="EF25" s="405"/>
      <c r="EG25" s="405"/>
      <c r="EH25" s="405"/>
      <c r="EI25" s="23"/>
      <c r="EJ25" s="22"/>
      <c r="EK25" s="24"/>
      <c r="EL25" s="405"/>
      <c r="EM25" s="405"/>
      <c r="EN25" s="405"/>
      <c r="EO25" s="405"/>
      <c r="EP25" s="405"/>
      <c r="EQ25" s="23"/>
      <c r="ER25" s="22"/>
      <c r="ES25" s="24"/>
      <c r="ET25" s="405"/>
      <c r="EU25" s="405"/>
      <c r="EV25" s="405"/>
      <c r="EW25" s="405"/>
      <c r="EX25" s="405"/>
      <c r="EY25" s="23"/>
      <c r="EZ25" s="22"/>
      <c r="FA25" s="24"/>
      <c r="FB25" s="408"/>
      <c r="FC25" s="405"/>
      <c r="FD25" s="405"/>
      <c r="FE25" s="23"/>
    </row>
    <row r="26" spans="1:169" s="163" customFormat="1" ht="15" customHeight="1" outlineLevel="1" x14ac:dyDescent="0.4">
      <c r="A26" s="6" t="s">
        <v>256</v>
      </c>
      <c r="B26" s="736">
        <v>2801.8649999999998</v>
      </c>
      <c r="C26" s="6"/>
      <c r="D26" s="160">
        <v>12.59</v>
      </c>
      <c r="E26" s="613">
        <v>0</v>
      </c>
      <c r="F26" s="613">
        <v>12.59</v>
      </c>
      <c r="G26" s="613">
        <v>0</v>
      </c>
      <c r="H26" s="409">
        <v>12.59</v>
      </c>
      <c r="I26" s="613">
        <v>0</v>
      </c>
      <c r="J26" s="633">
        <v>12.59</v>
      </c>
      <c r="K26" s="6"/>
      <c r="L26" s="689">
        <f>-38+24.642-3</f>
        <v>-16.358000000000001</v>
      </c>
      <c r="M26" s="615">
        <f>N26-L26</f>
        <v>527.64199999999994</v>
      </c>
      <c r="N26" s="615">
        <f>462+49.284</f>
        <v>511.28399999999999</v>
      </c>
      <c r="O26" s="615">
        <f>P26-N26-5</f>
        <v>19.642000000000053</v>
      </c>
      <c r="P26" s="615">
        <f>462+73.926</f>
        <v>535.92600000000004</v>
      </c>
      <c r="Q26" s="615">
        <f>R26-P26</f>
        <v>362.35699999999997</v>
      </c>
      <c r="R26" s="712">
        <f>462+439.283-3</f>
        <v>898.28300000000002</v>
      </c>
      <c r="S26" s="6"/>
      <c r="T26" s="711">
        <f>-128.885+459+62.136</f>
        <v>392.25100000000003</v>
      </c>
      <c r="U26" s="613">
        <f>V26-T26</f>
        <v>72.555999999999983</v>
      </c>
      <c r="V26" s="613">
        <f>-128.742+461.093+132.456</f>
        <v>464.80700000000002</v>
      </c>
      <c r="W26" s="613">
        <f>X26-V26</f>
        <v>71.266000000000076</v>
      </c>
      <c r="X26" s="613">
        <f>-128.742+462.039+202.776</f>
        <v>536.07300000000009</v>
      </c>
      <c r="Y26" s="613">
        <f>Z26-X26</f>
        <v>769.80199999999991</v>
      </c>
      <c r="Z26" s="712">
        <f>-128.642+461.039+973.478</f>
        <v>1305.875</v>
      </c>
      <c r="AA26" s="274"/>
      <c r="AB26" s="31">
        <f>30.068+37.495+13.214</f>
        <v>80.777000000000001</v>
      </c>
      <c r="AC26" s="410">
        <f t="shared" si="1"/>
        <v>92.207999999999984</v>
      </c>
      <c r="AD26" s="410">
        <f>60.137+74.991+37.857</f>
        <v>172.98499999999999</v>
      </c>
      <c r="AE26" s="410">
        <f t="shared" si="2"/>
        <v>21.509000000000043</v>
      </c>
      <c r="AF26" s="410">
        <f>90.206+112.486+62.499-70.697</f>
        <v>194.49400000000003</v>
      </c>
      <c r="AG26" s="410">
        <f t="shared" si="7"/>
        <v>112.58199999999999</v>
      </c>
      <c r="AH26" s="33">
        <f>12.275+149.979+87.141+57.681</f>
        <v>307.07600000000002</v>
      </c>
      <c r="AI26" s="406"/>
      <c r="AJ26" s="6"/>
      <c r="AK26" s="160">
        <v>0</v>
      </c>
      <c r="AL26" s="409">
        <v>0</v>
      </c>
      <c r="AM26" s="409">
        <v>0</v>
      </c>
      <c r="AN26" s="409">
        <v>0</v>
      </c>
      <c r="AO26" s="409">
        <v>0</v>
      </c>
      <c r="AP26" s="409">
        <f t="shared" si="3"/>
        <v>0</v>
      </c>
      <c r="AQ26" s="162">
        <v>0</v>
      </c>
      <c r="AR26" s="6"/>
      <c r="AS26" s="160">
        <v>0</v>
      </c>
      <c r="AT26" s="409">
        <v>0</v>
      </c>
      <c r="AU26" s="409">
        <v>0</v>
      </c>
      <c r="AV26" s="409">
        <v>0</v>
      </c>
      <c r="AW26" s="409">
        <v>0</v>
      </c>
      <c r="AX26" s="409">
        <v>0</v>
      </c>
      <c r="AY26" s="162">
        <v>0</v>
      </c>
      <c r="AZ26" s="409"/>
      <c r="BA26" s="160">
        <v>-203</v>
      </c>
      <c r="BB26" s="409">
        <v>203</v>
      </c>
      <c r="BC26" s="409">
        <v>0</v>
      </c>
      <c r="BD26" s="409">
        <v>0</v>
      </c>
      <c r="BE26" s="409">
        <v>0</v>
      </c>
      <c r="BF26" s="409">
        <v>0</v>
      </c>
      <c r="BG26" s="162">
        <v>0</v>
      </c>
      <c r="BH26" s="6"/>
      <c r="BI26" s="160">
        <v>0</v>
      </c>
      <c r="BJ26" s="409">
        <v>-2</v>
      </c>
      <c r="BK26" s="409">
        <v>-2</v>
      </c>
      <c r="BL26" s="409">
        <v>2</v>
      </c>
      <c r="BM26" s="409">
        <v>0</v>
      </c>
      <c r="BN26" s="409">
        <v>0</v>
      </c>
      <c r="BO26" s="162">
        <v>0</v>
      </c>
      <c r="BP26" s="6"/>
      <c r="BQ26" s="160">
        <v>0</v>
      </c>
      <c r="BR26" s="409">
        <v>0</v>
      </c>
      <c r="BS26" s="409">
        <v>0</v>
      </c>
      <c r="BT26" s="409">
        <v>0</v>
      </c>
      <c r="BU26" s="409">
        <v>0</v>
      </c>
      <c r="BV26" s="409">
        <v>0</v>
      </c>
      <c r="BW26" s="162">
        <v>0</v>
      </c>
      <c r="BX26" s="6"/>
      <c r="BY26" s="160">
        <v>0</v>
      </c>
      <c r="BZ26" s="409">
        <v>0</v>
      </c>
      <c r="CA26" s="409">
        <v>0</v>
      </c>
      <c r="CB26" s="409">
        <v>-139</v>
      </c>
      <c r="CC26" s="409">
        <v>-139</v>
      </c>
      <c r="CD26" s="409">
        <v>139</v>
      </c>
      <c r="CE26" s="162">
        <v>0</v>
      </c>
      <c r="CF26" s="6"/>
      <c r="CG26" s="160">
        <v>0</v>
      </c>
      <c r="CH26" s="409">
        <v>0</v>
      </c>
      <c r="CI26" s="409">
        <v>0</v>
      </c>
      <c r="CJ26" s="409">
        <v>-1</v>
      </c>
      <c r="CK26" s="409">
        <v>-1</v>
      </c>
      <c r="CL26" s="409">
        <v>0</v>
      </c>
      <c r="CM26" s="162">
        <v>-1</v>
      </c>
      <c r="CN26" s="161"/>
      <c r="CO26" s="160">
        <v>0</v>
      </c>
      <c r="CP26" s="409">
        <v>0</v>
      </c>
      <c r="CQ26" s="409">
        <v>0</v>
      </c>
      <c r="CR26" s="409">
        <v>0</v>
      </c>
      <c r="CS26" s="409">
        <v>0</v>
      </c>
      <c r="CT26" s="409">
        <v>0</v>
      </c>
      <c r="CU26" s="162">
        <v>0</v>
      </c>
      <c r="CV26" s="161"/>
      <c r="CW26" s="160">
        <v>0</v>
      </c>
      <c r="CX26" s="409">
        <v>0</v>
      </c>
      <c r="CY26" s="409">
        <v>0</v>
      </c>
      <c r="CZ26" s="409">
        <v>0</v>
      </c>
      <c r="DA26" s="409">
        <v>0</v>
      </c>
      <c r="DB26" s="409">
        <v>0</v>
      </c>
      <c r="DC26" s="162">
        <v>0</v>
      </c>
      <c r="DD26" s="161"/>
      <c r="DE26" s="160">
        <v>0</v>
      </c>
      <c r="DF26" s="409">
        <v>-1</v>
      </c>
      <c r="DG26" s="409">
        <v>0</v>
      </c>
      <c r="DH26" s="409">
        <v>0</v>
      </c>
      <c r="DI26" s="409">
        <v>0</v>
      </c>
      <c r="DJ26" s="409">
        <v>0</v>
      </c>
      <c r="DK26" s="162">
        <v>0</v>
      </c>
      <c r="DL26" s="161"/>
      <c r="DM26" s="160"/>
      <c r="DN26" s="409">
        <v>0</v>
      </c>
      <c r="DO26" s="409">
        <v>0</v>
      </c>
      <c r="DP26" s="409">
        <v>0</v>
      </c>
      <c r="DQ26" s="409">
        <v>0</v>
      </c>
      <c r="DR26" s="409">
        <v>547</v>
      </c>
      <c r="DS26" s="162">
        <v>1601</v>
      </c>
      <c r="DT26" s="161"/>
      <c r="DU26" s="160">
        <v>0</v>
      </c>
      <c r="DV26" s="409">
        <v>0</v>
      </c>
      <c r="DW26" s="409">
        <v>0</v>
      </c>
      <c r="DX26" s="409">
        <v>0</v>
      </c>
      <c r="DY26" s="409">
        <v>0</v>
      </c>
      <c r="DZ26" s="409">
        <v>0</v>
      </c>
      <c r="EA26" s="162">
        <v>0</v>
      </c>
      <c r="EB26" s="161"/>
      <c r="EC26" s="160">
        <v>0</v>
      </c>
      <c r="ED26" s="409">
        <v>0</v>
      </c>
      <c r="EE26" s="409">
        <v>0</v>
      </c>
      <c r="EF26" s="409">
        <v>0</v>
      </c>
      <c r="EG26" s="409">
        <v>0</v>
      </c>
      <c r="EH26" s="409">
        <v>0</v>
      </c>
      <c r="EI26" s="162">
        <v>0</v>
      </c>
      <c r="EJ26" s="161"/>
      <c r="EK26" s="160"/>
      <c r="EL26" s="409">
        <v>0</v>
      </c>
      <c r="EM26" s="409">
        <v>0</v>
      </c>
      <c r="EN26" s="409">
        <v>0</v>
      </c>
      <c r="EO26" s="409">
        <v>0</v>
      </c>
      <c r="EP26" s="409">
        <v>0</v>
      </c>
      <c r="EQ26" s="162">
        <v>0</v>
      </c>
      <c r="ER26" s="161"/>
      <c r="ES26" s="160">
        <v>0</v>
      </c>
      <c r="ET26" s="409">
        <v>0</v>
      </c>
      <c r="EU26" s="409"/>
      <c r="EV26" s="409">
        <v>0</v>
      </c>
      <c r="EW26" s="409">
        <v>0</v>
      </c>
      <c r="EX26" s="409">
        <v>0</v>
      </c>
      <c r="EY26" s="162">
        <v>0</v>
      </c>
      <c r="EZ26" s="161"/>
      <c r="FA26" s="160">
        <v>0</v>
      </c>
      <c r="FB26" s="406">
        <v>0</v>
      </c>
      <c r="FC26" s="409">
        <v>0</v>
      </c>
      <c r="FD26" s="409">
        <v>-8127</v>
      </c>
      <c r="FE26" s="162">
        <v>1705</v>
      </c>
      <c r="FF26" s="4"/>
      <c r="FG26" s="4"/>
      <c r="FH26" s="4"/>
      <c r="FI26" s="4"/>
      <c r="FJ26" s="4"/>
      <c r="FK26" s="4"/>
      <c r="FL26" s="4"/>
      <c r="FM26" s="4"/>
    </row>
    <row r="27" spans="1:169" s="14" customFormat="1" x14ac:dyDescent="0.25">
      <c r="A27" s="12" t="s">
        <v>194</v>
      </c>
      <c r="B27" s="578">
        <f>B18-SUM(B19:B26)</f>
        <v>-38970.54</v>
      </c>
      <c r="C27" s="12"/>
      <c r="D27" s="25">
        <f t="shared" ref="D27:J27" si="8">D18-SUM(D19:D26)</f>
        <v>-8761.934999999994</v>
      </c>
      <c r="E27" s="532">
        <f t="shared" si="8"/>
        <v>-19261.279000000002</v>
      </c>
      <c r="F27" s="532">
        <f t="shared" si="8"/>
        <v>-28023.214</v>
      </c>
      <c r="G27" s="406">
        <f t="shared" si="8"/>
        <v>-77344.343999999983</v>
      </c>
      <c r="H27" s="406">
        <f t="shared" si="8"/>
        <v>-105367.80799999999</v>
      </c>
      <c r="I27" s="406">
        <f t="shared" si="8"/>
        <v>-74819.388999999996</v>
      </c>
      <c r="J27" s="21">
        <f t="shared" si="8"/>
        <v>-180187.19700000001</v>
      </c>
      <c r="K27" s="12"/>
      <c r="L27" s="691">
        <f t="shared" ref="L27:R27" si="9">L18-SUM(L19:L26)</f>
        <v>-7395.1129999999994</v>
      </c>
      <c r="M27" s="406">
        <f t="shared" si="9"/>
        <v>-9339.1659999999993</v>
      </c>
      <c r="N27" s="406">
        <f t="shared" si="9"/>
        <v>-16731.278999999999</v>
      </c>
      <c r="O27" s="406">
        <f t="shared" si="9"/>
        <v>-10851.326999999999</v>
      </c>
      <c r="P27" s="406">
        <f t="shared" si="9"/>
        <v>-27587.773999999998</v>
      </c>
      <c r="Q27" s="406">
        <f t="shared" si="9"/>
        <v>-8042.8230000000003</v>
      </c>
      <c r="R27" s="21">
        <f t="shared" si="9"/>
        <v>-35630.597000000002</v>
      </c>
      <c r="S27" s="12"/>
      <c r="T27" s="25">
        <f t="shared" ref="T27:Z27" si="10">T18-SUM(T19:T26)</f>
        <v>-16386.399000000001</v>
      </c>
      <c r="U27" s="406">
        <f t="shared" si="10"/>
        <v>-15168.036</v>
      </c>
      <c r="V27" s="406">
        <f t="shared" si="10"/>
        <v>-31554.434999999998</v>
      </c>
      <c r="W27" s="406">
        <f t="shared" si="10"/>
        <v>-15920.062</v>
      </c>
      <c r="X27" s="406">
        <f t="shared" si="10"/>
        <v>-47474.497000000003</v>
      </c>
      <c r="Y27" s="406">
        <f t="shared" si="10"/>
        <v>-12987.069</v>
      </c>
      <c r="Z27" s="21">
        <f t="shared" si="10"/>
        <v>-60461.565999999999</v>
      </c>
      <c r="AA27" s="274"/>
      <c r="AB27" s="25">
        <f>AB18-SUM(AB19:AB26)</f>
        <v>-17335.614829999999</v>
      </c>
      <c r="AC27" s="406">
        <f t="shared" ref="AC27:AH27" si="11">AC18-SUM(AC19:AC26)</f>
        <v>-12647.702949999999</v>
      </c>
      <c r="AD27" s="406">
        <f t="shared" si="11"/>
        <v>-29983.317780000001</v>
      </c>
      <c r="AE27" s="406">
        <f t="shared" si="11"/>
        <v>-35203.623630000002</v>
      </c>
      <c r="AF27" s="406">
        <f t="shared" si="11"/>
        <v>-65186.941409999999</v>
      </c>
      <c r="AG27" s="406">
        <f t="shared" si="11"/>
        <v>-18925.419999999998</v>
      </c>
      <c r="AH27" s="21">
        <f t="shared" si="11"/>
        <v>-84112.361409999998</v>
      </c>
      <c r="AI27" s="406"/>
      <c r="AJ27" s="6"/>
      <c r="AK27" s="25">
        <f>AK18-SUM(AK19:AK26)</f>
        <v>-8781</v>
      </c>
      <c r="AL27" s="406">
        <f t="shared" ref="AL27:AQ27" si="12">AL18-SUM(AL19:AL26)</f>
        <v>-43983</v>
      </c>
      <c r="AM27" s="406">
        <f t="shared" si="12"/>
        <v>-52764</v>
      </c>
      <c r="AN27" s="406">
        <f t="shared" si="12"/>
        <v>-11953</v>
      </c>
      <c r="AO27" s="406">
        <f t="shared" si="12"/>
        <v>-64717</v>
      </c>
      <c r="AP27" s="406">
        <f t="shared" si="12"/>
        <v>-690</v>
      </c>
      <c r="AQ27" s="21">
        <f t="shared" si="12"/>
        <v>-65407</v>
      </c>
      <c r="AR27" s="12"/>
      <c r="AS27" s="25">
        <f>AS18-SUM(AS19:AS26)</f>
        <v>-1635</v>
      </c>
      <c r="AT27" s="406">
        <f t="shared" ref="AT27:AY27" si="13">AT18-SUM(AT19:AT26)</f>
        <v>-1886</v>
      </c>
      <c r="AU27" s="406">
        <f t="shared" si="13"/>
        <v>-3521</v>
      </c>
      <c r="AV27" s="406">
        <f t="shared" si="13"/>
        <v>-7114</v>
      </c>
      <c r="AW27" s="406">
        <f t="shared" si="13"/>
        <v>-10635</v>
      </c>
      <c r="AX27" s="406">
        <f t="shared" si="13"/>
        <v>-8530</v>
      </c>
      <c r="AY27" s="21">
        <f t="shared" si="13"/>
        <v>-19165</v>
      </c>
      <c r="AZ27" s="406"/>
      <c r="BA27" s="25">
        <f>BA18-SUM(BA19:BA26)</f>
        <v>-12037</v>
      </c>
      <c r="BB27" s="406">
        <f t="shared" ref="BB27:BG27" si="14">BB18-SUM(BB19:BB26)</f>
        <v>-12517</v>
      </c>
      <c r="BC27" s="406">
        <f t="shared" si="14"/>
        <v>-24554</v>
      </c>
      <c r="BD27" s="406">
        <f t="shared" si="14"/>
        <v>-13209</v>
      </c>
      <c r="BE27" s="406">
        <f t="shared" si="14"/>
        <v>-37763</v>
      </c>
      <c r="BF27" s="406">
        <f t="shared" si="14"/>
        <v>-11010</v>
      </c>
      <c r="BG27" s="21">
        <f t="shared" si="14"/>
        <v>-48773</v>
      </c>
      <c r="BH27" s="12"/>
      <c r="BI27" s="25">
        <f>BI18-SUM(BI19:BI26)</f>
        <v>155</v>
      </c>
      <c r="BJ27" s="406">
        <f t="shared" ref="BJ27:BO27" si="15">BJ18-SUM(BJ19:BJ26)</f>
        <v>-3683</v>
      </c>
      <c r="BK27" s="406">
        <f t="shared" si="15"/>
        <v>-3528</v>
      </c>
      <c r="BL27" s="406">
        <f t="shared" si="15"/>
        <v>-853</v>
      </c>
      <c r="BM27" s="406">
        <f t="shared" si="15"/>
        <v>-4381</v>
      </c>
      <c r="BN27" s="406">
        <f t="shared" si="15"/>
        <v>-9725</v>
      </c>
      <c r="BO27" s="21">
        <f t="shared" si="15"/>
        <v>-14106</v>
      </c>
      <c r="BP27" s="12"/>
      <c r="BQ27" s="25">
        <f>BQ18-SUM(BQ19:BQ26)</f>
        <v>-7012</v>
      </c>
      <c r="BR27" s="406">
        <f t="shared" ref="BR27:BW27" si="16">BR18-SUM(BR19:BR26)</f>
        <v>-1069</v>
      </c>
      <c r="BS27" s="406">
        <f t="shared" si="16"/>
        <v>-8081</v>
      </c>
      <c r="BT27" s="406">
        <f t="shared" si="16"/>
        <v>2334</v>
      </c>
      <c r="BU27" s="406">
        <f t="shared" si="16"/>
        <v>-5747</v>
      </c>
      <c r="BV27" s="406">
        <f t="shared" si="16"/>
        <v>830</v>
      </c>
      <c r="BW27" s="21">
        <f t="shared" si="16"/>
        <v>-4917</v>
      </c>
      <c r="BX27" s="12"/>
      <c r="BY27" s="25">
        <f>BY18-SUM(BY19:BY26)</f>
        <v>-17284</v>
      </c>
      <c r="BZ27" s="406">
        <f t="shared" ref="BZ27:CE27" si="17">BZ18-SUM(BZ19:BZ26)</f>
        <v>15793</v>
      </c>
      <c r="CA27" s="406">
        <f t="shared" si="17"/>
        <v>-1491</v>
      </c>
      <c r="CB27" s="406">
        <f t="shared" si="17"/>
        <v>50072</v>
      </c>
      <c r="CC27" s="406">
        <f t="shared" si="17"/>
        <v>48581</v>
      </c>
      <c r="CD27" s="406">
        <f t="shared" si="17"/>
        <v>19491</v>
      </c>
      <c r="CE27" s="21">
        <f t="shared" si="17"/>
        <v>68072</v>
      </c>
      <c r="CF27" s="12"/>
      <c r="CG27" s="25">
        <f>CG18-SUM(CG19:CG26)</f>
        <v>-19955</v>
      </c>
      <c r="CH27" s="406">
        <f t="shared" ref="CH27:CM27" si="18">CH18-SUM(CH19:CH26)</f>
        <v>12348</v>
      </c>
      <c r="CI27" s="406">
        <f t="shared" si="18"/>
        <v>-7607</v>
      </c>
      <c r="CJ27" s="406">
        <f t="shared" si="18"/>
        <v>4822</v>
      </c>
      <c r="CK27" s="406">
        <f t="shared" si="18"/>
        <v>-2785</v>
      </c>
      <c r="CL27" s="406">
        <f t="shared" si="18"/>
        <v>-6306</v>
      </c>
      <c r="CM27" s="21">
        <f t="shared" si="18"/>
        <v>-9091</v>
      </c>
      <c r="CN27" s="20"/>
      <c r="CO27" s="25">
        <f>CO18-SUM(CO19:CO26)</f>
        <v>-2333</v>
      </c>
      <c r="CP27" s="406">
        <f t="shared" ref="CP27:CU27" si="19">CP18-SUM(CP19:CP26)</f>
        <v>-4531</v>
      </c>
      <c r="CQ27" s="406">
        <f t="shared" si="19"/>
        <v>-6864</v>
      </c>
      <c r="CR27" s="406">
        <f t="shared" si="19"/>
        <v>259883</v>
      </c>
      <c r="CS27" s="406">
        <f t="shared" si="19"/>
        <v>253019</v>
      </c>
      <c r="CT27" s="406">
        <f t="shared" si="19"/>
        <v>4286</v>
      </c>
      <c r="CU27" s="21">
        <f t="shared" si="19"/>
        <v>257305</v>
      </c>
      <c r="CV27" s="20"/>
      <c r="CW27" s="25">
        <f>CW18-SUM(CW19:CW26)</f>
        <v>-6902</v>
      </c>
      <c r="CX27" s="406">
        <f t="shared" ref="CX27:DC27" si="20">CX18-SUM(CX19:CX26)</f>
        <v>-9968</v>
      </c>
      <c r="CY27" s="406">
        <f t="shared" si="20"/>
        <v>-16870</v>
      </c>
      <c r="CZ27" s="406">
        <f t="shared" si="20"/>
        <v>61357</v>
      </c>
      <c r="DA27" s="406">
        <f t="shared" si="20"/>
        <v>44487</v>
      </c>
      <c r="DB27" s="406">
        <f t="shared" si="20"/>
        <v>-3005</v>
      </c>
      <c r="DC27" s="21">
        <f t="shared" si="20"/>
        <v>41482</v>
      </c>
      <c r="DD27" s="20"/>
      <c r="DE27" s="25">
        <f>DE18-SUM(DE19:DE26)</f>
        <v>-2126</v>
      </c>
      <c r="DF27" s="406">
        <f t="shared" ref="DF27:DK27" si="21">DF18-SUM(DF19:DF26)</f>
        <v>-5394</v>
      </c>
      <c r="DG27" s="406">
        <f t="shared" si="21"/>
        <v>-7520</v>
      </c>
      <c r="DH27" s="406">
        <f t="shared" si="21"/>
        <v>-5692</v>
      </c>
      <c r="DI27" s="406">
        <f t="shared" si="21"/>
        <v>-13212</v>
      </c>
      <c r="DJ27" s="406">
        <f t="shared" si="21"/>
        <v>-10511</v>
      </c>
      <c r="DK27" s="21">
        <f t="shared" si="21"/>
        <v>-23723</v>
      </c>
      <c r="DL27" s="20"/>
      <c r="DM27" s="25">
        <f>DM18-SUM(DM19:DM26)</f>
        <v>-4219</v>
      </c>
      <c r="DN27" s="406">
        <f t="shared" ref="DN27:DS27" si="22">DN18-SUM(DN19:DN26)</f>
        <v>-2753</v>
      </c>
      <c r="DO27" s="406">
        <f t="shared" si="22"/>
        <v>-6972</v>
      </c>
      <c r="DP27" s="406">
        <f t="shared" si="22"/>
        <v>-2746</v>
      </c>
      <c r="DQ27" s="406">
        <f t="shared" si="22"/>
        <v>-9718</v>
      </c>
      <c r="DR27" s="406">
        <f t="shared" si="22"/>
        <v>-11783</v>
      </c>
      <c r="DS27" s="21">
        <f t="shared" si="22"/>
        <v>-21501</v>
      </c>
      <c r="DT27" s="20"/>
      <c r="DU27" s="25">
        <f>DU18-SUM(DU19:DU26)</f>
        <v>-17742</v>
      </c>
      <c r="DV27" s="406">
        <f t="shared" ref="DV27:EA27" si="23">DV18-SUM(DV19:DV26)</f>
        <v>-6871</v>
      </c>
      <c r="DW27" s="406">
        <f t="shared" si="23"/>
        <v>-24613</v>
      </c>
      <c r="DX27" s="406">
        <f t="shared" si="23"/>
        <v>-3635</v>
      </c>
      <c r="DY27" s="406">
        <f t="shared" si="23"/>
        <v>-28248</v>
      </c>
      <c r="DZ27" s="406">
        <f t="shared" si="23"/>
        <v>-13771</v>
      </c>
      <c r="EA27" s="21">
        <f t="shared" si="23"/>
        <v>-42019</v>
      </c>
      <c r="EB27" s="20"/>
      <c r="EC27" s="25">
        <f>EC18-SUM(EC19:EC26)</f>
        <v>-4457</v>
      </c>
      <c r="ED27" s="406">
        <f t="shared" ref="ED27:EI27" si="24">ED18-SUM(ED19:ED26)</f>
        <v>-728</v>
      </c>
      <c r="EE27" s="406">
        <f t="shared" si="24"/>
        <v>-5185</v>
      </c>
      <c r="EF27" s="406">
        <f t="shared" si="24"/>
        <v>-2102</v>
      </c>
      <c r="EG27" s="406">
        <f t="shared" si="24"/>
        <v>-7287</v>
      </c>
      <c r="EH27" s="406">
        <f t="shared" si="24"/>
        <v>-11561</v>
      </c>
      <c r="EI27" s="21">
        <f t="shared" si="24"/>
        <v>-18848</v>
      </c>
      <c r="EJ27" s="20"/>
      <c r="EK27" s="25">
        <f>EK18-SUM(EK19:EK26)</f>
        <v>-2793</v>
      </c>
      <c r="EL27" s="406">
        <f t="shared" ref="EL27:EQ27" si="25">EL18-SUM(EL19:EL26)</f>
        <v>-6195</v>
      </c>
      <c r="EM27" s="406">
        <f t="shared" si="25"/>
        <v>-10006</v>
      </c>
      <c r="EN27" s="406">
        <f t="shared" si="25"/>
        <v>-916</v>
      </c>
      <c r="EO27" s="406">
        <f t="shared" si="25"/>
        <v>-10922</v>
      </c>
      <c r="EP27" s="406">
        <f t="shared" si="25"/>
        <v>-3256</v>
      </c>
      <c r="EQ27" s="21">
        <f t="shared" si="25"/>
        <v>-14178</v>
      </c>
      <c r="ER27" s="20"/>
      <c r="ES27" s="25">
        <f>ES18-SUM(ES19:ES26)</f>
        <v>-2693</v>
      </c>
      <c r="ET27" s="406">
        <f t="shared" ref="ET27:EY27" si="26">ET18-SUM(ET19:ET26)</f>
        <v>-845</v>
      </c>
      <c r="EU27" s="406">
        <f t="shared" si="26"/>
        <v>-3538</v>
      </c>
      <c r="EV27" s="406">
        <f t="shared" si="26"/>
        <v>-848</v>
      </c>
      <c r="EW27" s="406">
        <f t="shared" si="26"/>
        <v>-4386</v>
      </c>
      <c r="EX27" s="406">
        <f t="shared" si="26"/>
        <v>-2334</v>
      </c>
      <c r="EY27" s="21">
        <f t="shared" si="26"/>
        <v>-6720</v>
      </c>
      <c r="EZ27" s="20"/>
      <c r="FA27" s="25">
        <f>FA18-SUM(FA19:FA26)</f>
        <v>-1275</v>
      </c>
      <c r="FB27" s="406">
        <f t="shared" ref="FB27:FE27" si="27">FB18-SUM(FB19:FB26)</f>
        <v>-9493</v>
      </c>
      <c r="FC27" s="406">
        <f t="shared" si="27"/>
        <v>-10768</v>
      </c>
      <c r="FD27" s="406">
        <f t="shared" si="27"/>
        <v>-16741</v>
      </c>
      <c r="FE27" s="406">
        <f t="shared" si="27"/>
        <v>-37341</v>
      </c>
      <c r="FF27" s="4"/>
      <c r="FG27" s="4"/>
      <c r="FH27" s="4"/>
      <c r="FI27" s="4"/>
      <c r="FJ27" s="4"/>
      <c r="FK27" s="4"/>
      <c r="FL27" s="4"/>
      <c r="FM27" s="4"/>
    </row>
    <row r="28" spans="1:169" s="14" customFormat="1" x14ac:dyDescent="0.25">
      <c r="A28" s="12"/>
      <c r="B28" s="578"/>
      <c r="C28" s="12"/>
      <c r="D28" s="25"/>
      <c r="E28" s="406"/>
      <c r="F28" s="406"/>
      <c r="G28" s="406"/>
      <c r="H28" s="406"/>
      <c r="I28" s="406"/>
      <c r="J28" s="21"/>
      <c r="K28" s="12"/>
      <c r="L28" s="691"/>
      <c r="M28" s="532"/>
      <c r="N28" s="532"/>
      <c r="O28" s="532"/>
      <c r="P28" s="532"/>
      <c r="Q28" s="532"/>
      <c r="R28" s="640"/>
      <c r="S28" s="12"/>
      <c r="T28" s="25"/>
      <c r="U28" s="532"/>
      <c r="V28" s="532"/>
      <c r="W28" s="532"/>
      <c r="X28" s="532"/>
      <c r="Y28" s="532"/>
      <c r="Z28" s="640"/>
      <c r="AA28" s="274"/>
      <c r="AB28" s="25"/>
      <c r="AC28" s="532"/>
      <c r="AD28" s="532"/>
      <c r="AE28" s="532"/>
      <c r="AF28" s="532"/>
      <c r="AG28" s="532"/>
      <c r="AH28" s="640"/>
      <c r="AI28" s="406"/>
      <c r="AJ28" s="6"/>
      <c r="AK28" s="25"/>
      <c r="AL28" s="406"/>
      <c r="AM28" s="406"/>
      <c r="AN28" s="406"/>
      <c r="AO28" s="406"/>
      <c r="AP28" s="406"/>
      <c r="AQ28" s="21"/>
      <c r="AR28" s="12"/>
      <c r="AS28" s="25"/>
      <c r="AT28" s="406"/>
      <c r="AU28" s="406"/>
      <c r="AV28" s="406"/>
      <c r="AW28" s="406"/>
      <c r="AX28" s="406"/>
      <c r="AY28" s="21"/>
      <c r="AZ28" s="406"/>
      <c r="BA28" s="25"/>
      <c r="BB28" s="406"/>
      <c r="BC28" s="406"/>
      <c r="BD28" s="406"/>
      <c r="BE28" s="406"/>
      <c r="BF28" s="406"/>
      <c r="BG28" s="21"/>
      <c r="BH28" s="12"/>
      <c r="BI28" s="25"/>
      <c r="BJ28" s="406"/>
      <c r="BK28" s="406"/>
      <c r="BL28" s="406"/>
      <c r="BM28" s="406"/>
      <c r="BN28" s="406"/>
      <c r="BO28" s="21"/>
      <c r="BP28" s="12"/>
      <c r="BQ28" s="25"/>
      <c r="BR28" s="406"/>
      <c r="BS28" s="406"/>
      <c r="BT28" s="406"/>
      <c r="BU28" s="406"/>
      <c r="BV28" s="406"/>
      <c r="BW28" s="21"/>
      <c r="BX28" s="12"/>
      <c r="BY28" s="25"/>
      <c r="BZ28" s="406"/>
      <c r="CA28" s="406"/>
      <c r="CB28" s="406"/>
      <c r="CC28" s="406"/>
      <c r="CD28" s="406"/>
      <c r="CE28" s="21"/>
      <c r="CF28" s="12"/>
      <c r="CG28" s="25"/>
      <c r="CH28" s="406"/>
      <c r="CI28" s="406"/>
      <c r="CJ28" s="406"/>
      <c r="CK28" s="406"/>
      <c r="CL28" s="406"/>
      <c r="CM28" s="21"/>
      <c r="CN28" s="20"/>
      <c r="CO28" s="25"/>
      <c r="CP28" s="406"/>
      <c r="CQ28" s="406"/>
      <c r="CR28" s="406"/>
      <c r="CS28" s="406"/>
      <c r="CT28" s="406"/>
      <c r="CU28" s="21"/>
      <c r="CV28" s="20"/>
      <c r="CW28" s="25"/>
      <c r="CX28" s="406"/>
      <c r="CY28" s="406"/>
      <c r="CZ28" s="406"/>
      <c r="DA28" s="406"/>
      <c r="DB28" s="406"/>
      <c r="DC28" s="21"/>
      <c r="DD28" s="20"/>
      <c r="DE28" s="25"/>
      <c r="DF28" s="406"/>
      <c r="DG28" s="406"/>
      <c r="DH28" s="406"/>
      <c r="DI28" s="406"/>
      <c r="DJ28" s="406"/>
      <c r="DK28" s="21"/>
      <c r="DL28" s="20"/>
      <c r="DM28" s="25"/>
      <c r="DN28" s="406"/>
      <c r="DO28" s="406"/>
      <c r="DP28" s="406"/>
      <c r="DQ28" s="406"/>
      <c r="DR28" s="406"/>
      <c r="DS28" s="21"/>
      <c r="DT28" s="20"/>
      <c r="DU28" s="25"/>
      <c r="DV28" s="406"/>
      <c r="DW28" s="406"/>
      <c r="DX28" s="406"/>
      <c r="DY28" s="406"/>
      <c r="DZ28" s="406"/>
      <c r="EA28" s="21"/>
      <c r="EB28" s="20"/>
      <c r="EC28" s="25"/>
      <c r="ED28" s="406"/>
      <c r="EE28" s="406"/>
      <c r="EF28" s="406"/>
      <c r="EG28" s="406"/>
      <c r="EH28" s="406"/>
      <c r="EI28" s="21"/>
      <c r="EJ28" s="20"/>
      <c r="EK28" s="25"/>
      <c r="EL28" s="406"/>
      <c r="EM28" s="406"/>
      <c r="EN28" s="406"/>
      <c r="EO28" s="406"/>
      <c r="EP28" s="406"/>
      <c r="EQ28" s="21"/>
      <c r="ER28" s="20"/>
      <c r="ES28" s="25"/>
      <c r="ET28" s="406"/>
      <c r="EU28" s="406"/>
      <c r="EV28" s="406"/>
      <c r="EW28" s="406"/>
      <c r="EX28" s="406"/>
      <c r="EY28" s="21"/>
      <c r="EZ28" s="20"/>
      <c r="FA28" s="25"/>
      <c r="FB28" s="406"/>
      <c r="FC28" s="406"/>
      <c r="FD28" s="406"/>
      <c r="FE28" s="21"/>
      <c r="FF28" s="4"/>
      <c r="FG28" s="4"/>
      <c r="FH28" s="4"/>
      <c r="FI28" s="4"/>
      <c r="FJ28" s="4"/>
      <c r="FK28" s="4"/>
      <c r="FL28" s="4"/>
      <c r="FM28" s="4"/>
    </row>
    <row r="29" spans="1:169" ht="15" customHeight="1" outlineLevel="1" x14ac:dyDescent="0.25">
      <c r="A29" s="6" t="s">
        <v>23</v>
      </c>
      <c r="B29" s="729">
        <v>0</v>
      </c>
      <c r="C29" s="6"/>
      <c r="D29" s="636">
        <v>0</v>
      </c>
      <c r="E29" s="542">
        <v>0</v>
      </c>
      <c r="F29" s="542">
        <v>0</v>
      </c>
      <c r="G29" s="542">
        <v>0</v>
      </c>
      <c r="H29" s="542">
        <v>0</v>
      </c>
      <c r="I29" s="542">
        <v>0</v>
      </c>
      <c r="J29" s="618">
        <v>0</v>
      </c>
      <c r="K29" s="6"/>
      <c r="L29" s="713">
        <v>-317</v>
      </c>
      <c r="M29" s="626">
        <f>N29-L29</f>
        <v>-872</v>
      </c>
      <c r="N29" s="626">
        <v>-1189</v>
      </c>
      <c r="O29" s="626">
        <f>P29-N29</f>
        <v>1088</v>
      </c>
      <c r="P29" s="626">
        <v>-101</v>
      </c>
      <c r="Q29" s="626">
        <f>R29-P29</f>
        <v>7006</v>
      </c>
      <c r="R29" s="627">
        <v>6905</v>
      </c>
      <c r="S29" s="795"/>
      <c r="T29" s="313">
        <f>1391-12329.348-1</f>
        <v>-10939.348</v>
      </c>
      <c r="U29" s="426">
        <f>V29-T29</f>
        <v>-5436.652</v>
      </c>
      <c r="V29" s="426">
        <v>-16376</v>
      </c>
      <c r="W29" s="426">
        <f>X29-V29</f>
        <v>-10858</v>
      </c>
      <c r="X29" s="441">
        <v>-27234</v>
      </c>
      <c r="Y29" s="426">
        <f>Z29-X29</f>
        <v>3026</v>
      </c>
      <c r="Z29" s="106">
        <v>-24208</v>
      </c>
      <c r="AA29" s="404"/>
      <c r="AB29" s="313">
        <v>-12380</v>
      </c>
      <c r="AC29" s="426">
        <f>AD29-AB29</f>
        <v>-7476.3762800000004</v>
      </c>
      <c r="AD29" s="441">
        <v>-19856.37628</v>
      </c>
      <c r="AE29" s="441">
        <f>AF29-AD29</f>
        <v>-11159.569349999998</v>
      </c>
      <c r="AF29" s="441">
        <v>-31015.945629999998</v>
      </c>
      <c r="AG29" s="441">
        <f>AH29-AF29</f>
        <v>5184.9456299999983</v>
      </c>
      <c r="AH29" s="106">
        <v>-25831</v>
      </c>
      <c r="AI29" s="406"/>
      <c r="AJ29" s="6" t="s">
        <v>23</v>
      </c>
      <c r="AK29" s="27">
        <v>0</v>
      </c>
      <c r="AL29" s="408">
        <v>0</v>
      </c>
      <c r="AM29" s="408">
        <v>0</v>
      </c>
      <c r="AN29" s="408">
        <v>-7665</v>
      </c>
      <c r="AO29" s="408">
        <v>-7665</v>
      </c>
      <c r="AP29" s="408">
        <f>AQ29-AO29</f>
        <v>-117</v>
      </c>
      <c r="AQ29" s="29">
        <f>-29180+1927+5290+6964+7217</f>
        <v>-7782</v>
      </c>
      <c r="AR29" s="6"/>
      <c r="AS29" s="27">
        <v>0</v>
      </c>
      <c r="AT29" s="408">
        <v>0</v>
      </c>
      <c r="AU29" s="408">
        <v>0</v>
      </c>
      <c r="AV29" s="408">
        <v>0</v>
      </c>
      <c r="AW29" s="408">
        <v>0</v>
      </c>
      <c r="AX29" s="408">
        <v>0</v>
      </c>
      <c r="AY29" s="29">
        <v>0</v>
      </c>
      <c r="AZ29" s="408"/>
      <c r="BA29" s="27">
        <v>586</v>
      </c>
      <c r="BB29" s="408">
        <v>-17487</v>
      </c>
      <c r="BC29" s="408">
        <v>-16901</v>
      </c>
      <c r="BD29" s="408">
        <v>0</v>
      </c>
      <c r="BE29" s="408">
        <v>-16901</v>
      </c>
      <c r="BF29" s="408">
        <v>0</v>
      </c>
      <c r="BG29" s="29">
        <v>-16901</v>
      </c>
      <c r="BH29" s="6"/>
      <c r="BI29" s="27">
        <v>0</v>
      </c>
      <c r="BJ29" s="408">
        <v>-1165</v>
      </c>
      <c r="BK29" s="408">
        <v>-1165</v>
      </c>
      <c r="BL29" s="408">
        <v>1165</v>
      </c>
      <c r="BM29" s="408">
        <v>0</v>
      </c>
      <c r="BN29" s="408">
        <v>0</v>
      </c>
      <c r="BO29" s="29">
        <v>0</v>
      </c>
      <c r="BP29" s="6"/>
      <c r="BQ29" s="27">
        <v>0</v>
      </c>
      <c r="BR29" s="408">
        <v>0</v>
      </c>
      <c r="BS29" s="408">
        <v>0</v>
      </c>
      <c r="BT29" s="408">
        <v>0</v>
      </c>
      <c r="BU29" s="408">
        <v>0</v>
      </c>
      <c r="BV29" s="408">
        <v>0</v>
      </c>
      <c r="BW29" s="29">
        <v>0</v>
      </c>
      <c r="BX29" s="6"/>
      <c r="BY29" s="27">
        <v>0</v>
      </c>
      <c r="BZ29" s="408">
        <v>0</v>
      </c>
      <c r="CA29" s="408">
        <v>0</v>
      </c>
      <c r="CB29" s="408">
        <v>-473</v>
      </c>
      <c r="CC29" s="408">
        <v>-473</v>
      </c>
      <c r="CD29" s="408">
        <v>0</v>
      </c>
      <c r="CE29" s="106">
        <v>-473</v>
      </c>
      <c r="CF29" s="6"/>
      <c r="CG29" s="27"/>
      <c r="CH29" s="408">
        <v>0</v>
      </c>
      <c r="CI29" s="408">
        <v>0</v>
      </c>
      <c r="CJ29" s="408">
        <v>0</v>
      </c>
      <c r="CK29" s="408">
        <v>0</v>
      </c>
      <c r="CL29" s="408">
        <v>0</v>
      </c>
      <c r="CM29" s="216"/>
      <c r="CN29" s="28"/>
      <c r="CO29" s="27">
        <v>0</v>
      </c>
      <c r="CP29" s="408">
        <v>0</v>
      </c>
      <c r="CQ29" s="408">
        <v>0</v>
      </c>
      <c r="CR29" s="408">
        <v>0</v>
      </c>
      <c r="CS29" s="408">
        <v>0</v>
      </c>
      <c r="CT29" s="408">
        <v>0</v>
      </c>
      <c r="CU29" s="29">
        <v>0</v>
      </c>
      <c r="CV29" s="28"/>
      <c r="CW29" s="27">
        <v>0</v>
      </c>
      <c r="CX29" s="408">
        <v>0</v>
      </c>
      <c r="CY29" s="408">
        <v>0</v>
      </c>
      <c r="CZ29" s="408">
        <v>0</v>
      </c>
      <c r="DA29" s="408">
        <v>0</v>
      </c>
      <c r="DB29" s="408">
        <v>0</v>
      </c>
      <c r="DC29" s="29">
        <v>0</v>
      </c>
      <c r="DD29" s="28"/>
      <c r="DE29" s="27">
        <v>0</v>
      </c>
      <c r="DF29" s="408">
        <v>0</v>
      </c>
      <c r="DG29" s="408">
        <v>0</v>
      </c>
      <c r="DH29" s="408">
        <v>0</v>
      </c>
      <c r="DI29" s="408">
        <v>0</v>
      </c>
      <c r="DJ29" s="408">
        <v>0</v>
      </c>
      <c r="DK29" s="29">
        <v>0</v>
      </c>
      <c r="DL29" s="28"/>
      <c r="DM29" s="27">
        <v>0</v>
      </c>
      <c r="DN29" s="408">
        <v>0</v>
      </c>
      <c r="DO29" s="408">
        <v>0</v>
      </c>
      <c r="DP29" s="408">
        <v>0</v>
      </c>
      <c r="DQ29" s="408">
        <v>0</v>
      </c>
      <c r="DR29" s="408">
        <v>0</v>
      </c>
      <c r="DS29" s="29">
        <v>0</v>
      </c>
      <c r="DT29" s="28"/>
      <c r="DU29" s="27">
        <v>0</v>
      </c>
      <c r="DV29" s="408">
        <v>0</v>
      </c>
      <c r="DW29" s="408">
        <v>0</v>
      </c>
      <c r="DX29" s="408">
        <v>0</v>
      </c>
      <c r="DY29" s="408">
        <v>0</v>
      </c>
      <c r="DZ29" s="408">
        <v>0</v>
      </c>
      <c r="EA29" s="29">
        <v>0</v>
      </c>
      <c r="EB29" s="28"/>
      <c r="EC29" s="27"/>
      <c r="ED29" s="408">
        <v>0</v>
      </c>
      <c r="EE29" s="408"/>
      <c r="EF29" s="408">
        <v>0</v>
      </c>
      <c r="EG29" s="408"/>
      <c r="EH29" s="408">
        <v>0</v>
      </c>
      <c r="EI29" s="29"/>
      <c r="EJ29" s="28"/>
      <c r="EK29" s="27">
        <v>0</v>
      </c>
      <c r="EL29" s="408">
        <v>-2577</v>
      </c>
      <c r="EM29" s="408">
        <v>-4607</v>
      </c>
      <c r="EN29" s="408">
        <v>0</v>
      </c>
      <c r="EO29" s="408">
        <v>-4607</v>
      </c>
      <c r="EP29" s="408">
        <v>0</v>
      </c>
      <c r="EQ29" s="29">
        <v>-4607</v>
      </c>
      <c r="ER29" s="28"/>
      <c r="ES29" s="27">
        <v>0</v>
      </c>
      <c r="ET29" s="408">
        <v>0</v>
      </c>
      <c r="EU29" s="408">
        <v>0</v>
      </c>
      <c r="EV29" s="408">
        <v>0</v>
      </c>
      <c r="EW29" s="408">
        <v>0</v>
      </c>
      <c r="EX29" s="408">
        <v>0</v>
      </c>
      <c r="EY29" s="29">
        <v>0</v>
      </c>
      <c r="EZ29" s="28"/>
      <c r="FA29" s="27">
        <v>-115</v>
      </c>
      <c r="FB29" s="408">
        <v>-145</v>
      </c>
      <c r="FC29" s="408">
        <v>-260</v>
      </c>
      <c r="FD29" s="408">
        <v>0</v>
      </c>
      <c r="FE29" s="29">
        <v>0</v>
      </c>
    </row>
    <row r="30" spans="1:169" ht="15" customHeight="1" outlineLevel="1" x14ac:dyDescent="0.4">
      <c r="A30" s="6" t="s">
        <v>204</v>
      </c>
      <c r="B30" s="390">
        <v>-157.13</v>
      </c>
      <c r="C30" s="6"/>
      <c r="D30" s="391">
        <v>-44.045999999999999</v>
      </c>
      <c r="E30" s="615">
        <v>-2804.9879999999998</v>
      </c>
      <c r="F30" s="615">
        <v>-2849.0340000000001</v>
      </c>
      <c r="G30" s="615">
        <v>522.89599999999996</v>
      </c>
      <c r="H30" s="615">
        <v>-2326.1379999999999</v>
      </c>
      <c r="I30" s="702">
        <v>-580.06200000000001</v>
      </c>
      <c r="J30" s="712">
        <v>-2906.2</v>
      </c>
      <c r="K30" s="6"/>
      <c r="L30" s="781">
        <v>-3345.2379999999998</v>
      </c>
      <c r="M30" s="777">
        <v>0</v>
      </c>
      <c r="N30" s="777">
        <v>-3345</v>
      </c>
      <c r="O30" s="777">
        <v>0</v>
      </c>
      <c r="P30" s="777">
        <v>-3345</v>
      </c>
      <c r="Q30" s="777">
        <f>R30-P30</f>
        <v>-8612</v>
      </c>
      <c r="R30" s="779">
        <v>-11957</v>
      </c>
      <c r="S30" s="795"/>
      <c r="T30" s="780">
        <v>-97989</v>
      </c>
      <c r="U30" s="778">
        <f>V30-T30</f>
        <v>-4232</v>
      </c>
      <c r="V30" s="778">
        <v>-102221</v>
      </c>
      <c r="W30" s="778">
        <f>X30-V30</f>
        <v>-1274</v>
      </c>
      <c r="X30" s="461">
        <v>-103495</v>
      </c>
      <c r="Y30" s="778">
        <f>Z30-X30</f>
        <v>-179530</v>
      </c>
      <c r="Z30" s="113">
        <v>-283025</v>
      </c>
      <c r="AA30" s="404"/>
      <c r="AB30" s="780">
        <v>-5993</v>
      </c>
      <c r="AC30" s="778">
        <f>AD30-AB30</f>
        <v>579</v>
      </c>
      <c r="AD30" s="461">
        <v>-5414</v>
      </c>
      <c r="AE30" s="461">
        <f>AF30-AD30</f>
        <v>-1478.6710000000003</v>
      </c>
      <c r="AF30" s="461">
        <v>-6892.6710000000003</v>
      </c>
      <c r="AG30" s="461">
        <f>AH30-AF30</f>
        <v>-2500.3289999999997</v>
      </c>
      <c r="AH30" s="113">
        <v>-9393</v>
      </c>
      <c r="AI30" s="406"/>
      <c r="AJ30" s="6" t="s">
        <v>204</v>
      </c>
      <c r="AK30" s="31">
        <v>0</v>
      </c>
      <c r="AL30" s="410">
        <v>0</v>
      </c>
      <c r="AM30" s="410">
        <v>0</v>
      </c>
      <c r="AN30" s="410">
        <v>-72745</v>
      </c>
      <c r="AO30" s="410">
        <v>-72745</v>
      </c>
      <c r="AP30" s="410">
        <f>AQ30-AO30</f>
        <v>-25</v>
      </c>
      <c r="AQ30" s="33">
        <v>-72770</v>
      </c>
      <c r="AR30" s="6"/>
      <c r="AS30" s="31">
        <v>0</v>
      </c>
      <c r="AT30" s="410">
        <v>0</v>
      </c>
      <c r="AU30" s="410">
        <v>0</v>
      </c>
      <c r="AV30" s="410">
        <v>-100</v>
      </c>
      <c r="AW30" s="410">
        <v>-100</v>
      </c>
      <c r="AX30" s="410">
        <v>0</v>
      </c>
      <c r="AY30" s="33">
        <v>-100</v>
      </c>
      <c r="AZ30" s="408"/>
      <c r="BA30" s="31">
        <v>-121659</v>
      </c>
      <c r="BB30" s="410">
        <v>-206505</v>
      </c>
      <c r="BC30" s="410">
        <v>-328164</v>
      </c>
      <c r="BD30" s="410">
        <v>-2039</v>
      </c>
      <c r="BE30" s="410">
        <v>-330203</v>
      </c>
      <c r="BF30" s="410">
        <v>-810</v>
      </c>
      <c r="BG30" s="33">
        <v>-331013</v>
      </c>
      <c r="BH30" s="6"/>
      <c r="BI30" s="31">
        <v>0</v>
      </c>
      <c r="BJ30" s="410">
        <v>0</v>
      </c>
      <c r="BK30" s="410">
        <v>0</v>
      </c>
      <c r="BL30" s="410">
        <v>-1165</v>
      </c>
      <c r="BM30" s="410">
        <v>-1165</v>
      </c>
      <c r="BN30" s="410">
        <v>-93</v>
      </c>
      <c r="BO30" s="33">
        <v>-1258</v>
      </c>
      <c r="BP30" s="6"/>
      <c r="BQ30" s="31">
        <v>-340</v>
      </c>
      <c r="BR30" s="410">
        <v>0</v>
      </c>
      <c r="BS30" s="410">
        <v>-340</v>
      </c>
      <c r="BT30" s="410">
        <v>0</v>
      </c>
      <c r="BU30" s="410">
        <v>-340</v>
      </c>
      <c r="BV30" s="410">
        <v>0</v>
      </c>
      <c r="BW30" s="33">
        <v>-340</v>
      </c>
      <c r="BX30" s="6"/>
      <c r="BY30" s="31">
        <v>0</v>
      </c>
      <c r="BZ30" s="410">
        <v>0</v>
      </c>
      <c r="CA30" s="410">
        <v>0</v>
      </c>
      <c r="CB30" s="410">
        <v>-2134</v>
      </c>
      <c r="CC30" s="410">
        <v>-2134</v>
      </c>
      <c r="CD30" s="410">
        <v>-174</v>
      </c>
      <c r="CE30" s="33">
        <v>-2308</v>
      </c>
      <c r="CF30" s="6"/>
      <c r="CG30" s="31"/>
      <c r="CH30" s="410">
        <v>0</v>
      </c>
      <c r="CI30" s="410">
        <v>0</v>
      </c>
      <c r="CJ30" s="410">
        <v>-151075</v>
      </c>
      <c r="CK30" s="410">
        <v>-151075</v>
      </c>
      <c r="CL30" s="410">
        <v>1277</v>
      </c>
      <c r="CM30" s="33">
        <v>-149798</v>
      </c>
      <c r="CN30" s="28"/>
      <c r="CO30" s="31">
        <v>0</v>
      </c>
      <c r="CP30" s="410">
        <v>0</v>
      </c>
      <c r="CQ30" s="410">
        <v>0</v>
      </c>
      <c r="CR30" s="410">
        <v>0</v>
      </c>
      <c r="CS30" s="410">
        <v>0</v>
      </c>
      <c r="CT30" s="410">
        <v>0</v>
      </c>
      <c r="CU30" s="33">
        <v>0</v>
      </c>
      <c r="CV30" s="28"/>
      <c r="CW30" s="31">
        <v>0</v>
      </c>
      <c r="CX30" s="410">
        <v>0</v>
      </c>
      <c r="CY30" s="410">
        <v>0</v>
      </c>
      <c r="CZ30" s="410">
        <v>0</v>
      </c>
      <c r="DA30" s="410">
        <v>0</v>
      </c>
      <c r="DB30" s="410">
        <v>0</v>
      </c>
      <c r="DC30" s="33">
        <v>0</v>
      </c>
      <c r="DD30" s="28"/>
      <c r="DE30" s="31">
        <v>0</v>
      </c>
      <c r="DF30" s="410">
        <v>130</v>
      </c>
      <c r="DG30" s="410">
        <v>130</v>
      </c>
      <c r="DH30" s="410">
        <v>334</v>
      </c>
      <c r="DI30" s="410">
        <v>464</v>
      </c>
      <c r="DJ30" s="410">
        <v>-219</v>
      </c>
      <c r="DK30" s="33">
        <v>245</v>
      </c>
      <c r="DL30" s="28"/>
      <c r="DM30" s="31">
        <v>0</v>
      </c>
      <c r="DN30" s="410">
        <v>0</v>
      </c>
      <c r="DO30" s="410">
        <v>0</v>
      </c>
      <c r="DP30" s="410">
        <v>0</v>
      </c>
      <c r="DQ30" s="410">
        <v>0</v>
      </c>
      <c r="DR30" s="410">
        <v>-88592</v>
      </c>
      <c r="DS30" s="33">
        <v>-88592</v>
      </c>
      <c r="DT30" s="28"/>
      <c r="DU30" s="31">
        <v>0</v>
      </c>
      <c r="DV30" s="410">
        <v>0</v>
      </c>
      <c r="DW30" s="410">
        <v>0</v>
      </c>
      <c r="DX30" s="410">
        <v>0</v>
      </c>
      <c r="DY30" s="410">
        <v>0</v>
      </c>
      <c r="DZ30" s="410">
        <v>0</v>
      </c>
      <c r="EA30" s="33">
        <v>0</v>
      </c>
      <c r="EB30" s="28"/>
      <c r="EC30" s="31"/>
      <c r="ED30" s="410">
        <v>0</v>
      </c>
      <c r="EE30" s="410"/>
      <c r="EF30" s="410">
        <v>0</v>
      </c>
      <c r="EG30" s="410"/>
      <c r="EH30" s="410">
        <v>0</v>
      </c>
      <c r="EI30" s="33"/>
      <c r="EJ30" s="28"/>
      <c r="EK30" s="31">
        <v>0</v>
      </c>
      <c r="EL30" s="410">
        <v>-72296</v>
      </c>
      <c r="EM30" s="410">
        <v>-72296</v>
      </c>
      <c r="EN30" s="410">
        <v>-636</v>
      </c>
      <c r="EO30" s="410">
        <v>-72932</v>
      </c>
      <c r="EP30" s="410">
        <v>-431</v>
      </c>
      <c r="EQ30" s="33">
        <v>-73363</v>
      </c>
      <c r="ER30" s="28"/>
      <c r="ES30" s="31">
        <v>-36038</v>
      </c>
      <c r="ET30" s="410">
        <v>0</v>
      </c>
      <c r="EU30" s="410">
        <v>-36038</v>
      </c>
      <c r="EV30" s="410">
        <v>0</v>
      </c>
      <c r="EW30" s="410">
        <v>-36038</v>
      </c>
      <c r="EX30" s="410">
        <v>204</v>
      </c>
      <c r="EY30" s="33">
        <v>-35834</v>
      </c>
      <c r="EZ30" s="28"/>
      <c r="FA30" s="31">
        <v>0</v>
      </c>
      <c r="FB30" s="410">
        <v>0</v>
      </c>
      <c r="FC30" s="410">
        <v>0</v>
      </c>
      <c r="FD30" s="410">
        <v>0</v>
      </c>
      <c r="FE30" s="33">
        <v>0</v>
      </c>
    </row>
    <row r="31" spans="1:169" s="14" customFormat="1" x14ac:dyDescent="0.25">
      <c r="A31" s="12" t="s">
        <v>262</v>
      </c>
      <c r="B31" s="578">
        <f>B27-SUM(B29:B30)</f>
        <v>-38813.410000000003</v>
      </c>
      <c r="C31" s="12"/>
      <c r="D31" s="25">
        <f>D27-SUM(D28:D30)</f>
        <v>-8717.8889999999938</v>
      </c>
      <c r="E31" s="406">
        <f>E27-SUM(E28:E30)</f>
        <v>-16456.291000000001</v>
      </c>
      <c r="F31" s="406">
        <f t="shared" ref="F31:I31" si="28">F27-SUM(F28:F30)</f>
        <v>-25174.18</v>
      </c>
      <c r="G31" s="406">
        <f t="shared" si="28"/>
        <v>-77867.239999999976</v>
      </c>
      <c r="H31" s="406">
        <f t="shared" si="28"/>
        <v>-103041.66999999998</v>
      </c>
      <c r="I31" s="406">
        <f t="shared" si="28"/>
        <v>-74239.32699999999</v>
      </c>
      <c r="J31" s="21">
        <f>J27-SUM(J29:J30)</f>
        <v>-177280.997</v>
      </c>
      <c r="K31" s="12"/>
      <c r="L31" s="25">
        <f>L27-SUM(L28:L30)</f>
        <v>-3732.8749999999995</v>
      </c>
      <c r="M31" s="406">
        <f>M27-SUM(M28:M30)</f>
        <v>-8467.1659999999993</v>
      </c>
      <c r="N31" s="406">
        <f t="shared" ref="N31" si="29">N27-SUM(N28:N30)</f>
        <v>-12197.278999999999</v>
      </c>
      <c r="O31" s="532">
        <f t="shared" ref="O31" si="30">O27-SUM(O28:O30)</f>
        <v>-11939.326999999999</v>
      </c>
      <c r="P31" s="532">
        <f t="shared" ref="P31" si="31">P27-SUM(P28:P30)</f>
        <v>-24141.773999999998</v>
      </c>
      <c r="Q31" s="532">
        <f t="shared" ref="Q31" si="32">Q27-SUM(Q28:Q30)</f>
        <v>-6436.8230000000003</v>
      </c>
      <c r="R31" s="640">
        <f>R27-SUM(R29:R30)</f>
        <v>-30578.597000000002</v>
      </c>
      <c r="S31" s="12"/>
      <c r="T31" s="25">
        <f>T27-SUM(T28:T30)</f>
        <v>92541.948999999993</v>
      </c>
      <c r="U31" s="406">
        <f>U27-SUM(U28:U30)</f>
        <v>-5499.384</v>
      </c>
      <c r="V31" s="406">
        <f t="shared" ref="V31" si="33">V27-SUM(V28:V30)</f>
        <v>87042.565000000002</v>
      </c>
      <c r="W31" s="406">
        <f t="shared" ref="W31" si="34">W27-SUM(W28:W30)</f>
        <v>-3788.0619999999999</v>
      </c>
      <c r="X31" s="406">
        <f t="shared" ref="X31" si="35">X27-SUM(X28:X30)</f>
        <v>83254.502999999997</v>
      </c>
      <c r="Y31" s="406">
        <f t="shared" ref="Y31" si="36">Y27-SUM(Y28:Y30)</f>
        <v>163516.93100000001</v>
      </c>
      <c r="Z31" s="21">
        <f>Z27-SUM(Z29:Z30)</f>
        <v>246771.43400000001</v>
      </c>
      <c r="AA31" s="274"/>
      <c r="AB31" s="25">
        <f>AB27-SUM(AB28:AB30)</f>
        <v>1037.3851700000014</v>
      </c>
      <c r="AC31" s="406">
        <f>AC27-SUM(AC28:AC30)</f>
        <v>-5750.3266699999986</v>
      </c>
      <c r="AD31" s="406">
        <f t="shared" ref="AD31" si="37">AD27-SUM(AD28:AD30)</f>
        <v>-4712.9415000000008</v>
      </c>
      <c r="AE31" s="406">
        <f t="shared" ref="AE31" si="38">AE27-SUM(AE28:AE30)</f>
        <v>-22565.383280000002</v>
      </c>
      <c r="AF31" s="406">
        <f t="shared" ref="AF31" si="39">AF27-SUM(AF28:AF30)</f>
        <v>-27278.324780000003</v>
      </c>
      <c r="AG31" s="406">
        <f t="shared" ref="AG31" si="40">AG27-SUM(AG28:AG30)</f>
        <v>-21610.036629999995</v>
      </c>
      <c r="AH31" s="21">
        <f>AH27-SUM(AH29:AH30)</f>
        <v>-48888.361409999998</v>
      </c>
      <c r="AI31" s="406"/>
      <c r="AJ31" s="12" t="s">
        <v>262</v>
      </c>
      <c r="AK31" s="25">
        <f>AK27-SUM(AK28:AK30)</f>
        <v>-8781</v>
      </c>
      <c r="AL31" s="406">
        <f>AL27-SUM(AL28:AL30)</f>
        <v>-43983</v>
      </c>
      <c r="AM31" s="406">
        <f t="shared" ref="AM31:AP31" si="41">AM27-SUM(AM28:AM30)</f>
        <v>-52764</v>
      </c>
      <c r="AN31" s="406">
        <f t="shared" si="41"/>
        <v>68457</v>
      </c>
      <c r="AO31" s="406">
        <f t="shared" si="41"/>
        <v>15693</v>
      </c>
      <c r="AP31" s="406">
        <f t="shared" si="41"/>
        <v>-548</v>
      </c>
      <c r="AQ31" s="21">
        <f>AQ27-SUM(AQ29:AQ30)</f>
        <v>15145</v>
      </c>
      <c r="AR31" s="12"/>
      <c r="AS31" s="25">
        <f>AS27-SUM(AS28:AS30)</f>
        <v>-1635</v>
      </c>
      <c r="AT31" s="406">
        <f>AT27-SUM(AT28:AT30)</f>
        <v>-1886</v>
      </c>
      <c r="AU31" s="406">
        <f t="shared" ref="AU31:AX31" si="42">AU27-SUM(AU28:AU30)</f>
        <v>-3521</v>
      </c>
      <c r="AV31" s="406">
        <f t="shared" si="42"/>
        <v>-7014</v>
      </c>
      <c r="AW31" s="406">
        <f t="shared" si="42"/>
        <v>-10535</v>
      </c>
      <c r="AX31" s="406">
        <f t="shared" si="42"/>
        <v>-8530</v>
      </c>
      <c r="AY31" s="21">
        <f>AY27-SUM(AY29:AY30)</f>
        <v>-19065</v>
      </c>
      <c r="AZ31" s="406"/>
      <c r="BA31" s="25">
        <f>BA27-SUM(BA28:BA30)</f>
        <v>109036</v>
      </c>
      <c r="BB31" s="406">
        <f>BB27-SUM(BB28:BB30)</f>
        <v>211475</v>
      </c>
      <c r="BC31" s="406">
        <f t="shared" ref="BC31:BF31" si="43">BC27-SUM(BC28:BC30)</f>
        <v>320511</v>
      </c>
      <c r="BD31" s="406">
        <f t="shared" si="43"/>
        <v>-11170</v>
      </c>
      <c r="BE31" s="406">
        <f t="shared" si="43"/>
        <v>309341</v>
      </c>
      <c r="BF31" s="406">
        <f t="shared" si="43"/>
        <v>-10200</v>
      </c>
      <c r="BG31" s="21">
        <f>BG27-SUM(BG29:BG30)</f>
        <v>299141</v>
      </c>
      <c r="BH31" s="12"/>
      <c r="BI31" s="25">
        <f>BI27-SUM(BI28:BI30)</f>
        <v>155</v>
      </c>
      <c r="BJ31" s="406">
        <f>BJ27-SUM(BJ28:BJ30)</f>
        <v>-2518</v>
      </c>
      <c r="BK31" s="406">
        <f t="shared" ref="BK31:BN31" si="44">BK27-SUM(BK28:BK30)</f>
        <v>-2363</v>
      </c>
      <c r="BL31" s="406">
        <f t="shared" si="44"/>
        <v>-853</v>
      </c>
      <c r="BM31" s="406">
        <f t="shared" si="44"/>
        <v>-3216</v>
      </c>
      <c r="BN31" s="406">
        <f t="shared" si="44"/>
        <v>-9632</v>
      </c>
      <c r="BO31" s="21">
        <f>BO27-SUM(BO29:BO30)</f>
        <v>-12848</v>
      </c>
      <c r="BP31" s="12"/>
      <c r="BQ31" s="25">
        <f>BQ27-SUM(BQ28:BQ30)</f>
        <v>-6672</v>
      </c>
      <c r="BR31" s="406">
        <f>BR27-SUM(BR28:BR30)</f>
        <v>-1069</v>
      </c>
      <c r="BS31" s="406">
        <f t="shared" ref="BS31:BV31" si="45">BS27-SUM(BS28:BS30)</f>
        <v>-7741</v>
      </c>
      <c r="BT31" s="406">
        <f t="shared" si="45"/>
        <v>2334</v>
      </c>
      <c r="BU31" s="406">
        <f t="shared" si="45"/>
        <v>-5407</v>
      </c>
      <c r="BV31" s="406">
        <f t="shared" si="45"/>
        <v>830</v>
      </c>
      <c r="BW31" s="21">
        <f>BW27-SUM(BW29:BW30)</f>
        <v>-4577</v>
      </c>
      <c r="BX31" s="12"/>
      <c r="BY31" s="25">
        <f>BY27-SUM(BY28:BY30)</f>
        <v>-17284</v>
      </c>
      <c r="BZ31" s="406">
        <f>BZ27-SUM(BZ28:BZ30)</f>
        <v>15793</v>
      </c>
      <c r="CA31" s="406">
        <f t="shared" ref="CA31:CD31" si="46">CA27-SUM(CA28:CA30)</f>
        <v>-1491</v>
      </c>
      <c r="CB31" s="406">
        <f t="shared" si="46"/>
        <v>52679</v>
      </c>
      <c r="CC31" s="406">
        <f t="shared" si="46"/>
        <v>51188</v>
      </c>
      <c r="CD31" s="406">
        <f t="shared" si="46"/>
        <v>19665</v>
      </c>
      <c r="CE31" s="21">
        <f>CE27-SUM(CE29:CE30)</f>
        <v>70853</v>
      </c>
      <c r="CF31" s="12"/>
      <c r="CG31" s="25">
        <f>CG27-SUM(CG28:CG30)</f>
        <v>-19955</v>
      </c>
      <c r="CH31" s="406">
        <f>CH27-SUM(CH28:CH30)</f>
        <v>12348</v>
      </c>
      <c r="CI31" s="406">
        <f t="shared" ref="CI31:CL31" si="47">CI27-SUM(CI28:CI30)</f>
        <v>-7607</v>
      </c>
      <c r="CJ31" s="406">
        <f t="shared" si="47"/>
        <v>155897</v>
      </c>
      <c r="CK31" s="406">
        <f t="shared" si="47"/>
        <v>148290</v>
      </c>
      <c r="CL31" s="406">
        <f t="shared" si="47"/>
        <v>-7583</v>
      </c>
      <c r="CM31" s="21">
        <f>CM27-SUM(CM29:CM30)</f>
        <v>140707</v>
      </c>
      <c r="CN31" s="20"/>
      <c r="CO31" s="25">
        <f>CO27-SUM(CO28:CO30)</f>
        <v>-2333</v>
      </c>
      <c r="CP31" s="406">
        <f>CP27-SUM(CP28:CP30)</f>
        <v>-4531</v>
      </c>
      <c r="CQ31" s="406">
        <f t="shared" ref="CQ31:CT31" si="48">CQ27-SUM(CQ28:CQ30)</f>
        <v>-6864</v>
      </c>
      <c r="CR31" s="406">
        <f t="shared" si="48"/>
        <v>259883</v>
      </c>
      <c r="CS31" s="406">
        <f t="shared" si="48"/>
        <v>253019</v>
      </c>
      <c r="CT31" s="406">
        <f t="shared" si="48"/>
        <v>4286</v>
      </c>
      <c r="CU31" s="21">
        <f>CU27-SUM(CU29:CU30)</f>
        <v>257305</v>
      </c>
      <c r="CV31" s="20"/>
      <c r="CW31" s="25">
        <f>CW27-SUM(CW28:CW30)</f>
        <v>-6902</v>
      </c>
      <c r="CX31" s="406">
        <f>CX27-SUM(CX28:CX30)</f>
        <v>-9968</v>
      </c>
      <c r="CY31" s="406">
        <f t="shared" ref="CY31:DB31" si="49">CY27-SUM(CY28:CY30)</f>
        <v>-16870</v>
      </c>
      <c r="CZ31" s="406">
        <f t="shared" si="49"/>
        <v>61357</v>
      </c>
      <c r="DA31" s="406">
        <f t="shared" si="49"/>
        <v>44487</v>
      </c>
      <c r="DB31" s="406">
        <f t="shared" si="49"/>
        <v>-3005</v>
      </c>
      <c r="DC31" s="21">
        <f>DC27-SUM(DC29:DC30)</f>
        <v>41482</v>
      </c>
      <c r="DD31" s="20"/>
      <c r="DE31" s="25">
        <f>DE27-SUM(DE28:DE30)</f>
        <v>-2126</v>
      </c>
      <c r="DF31" s="406">
        <f>DF27-SUM(DF28:DF30)</f>
        <v>-5524</v>
      </c>
      <c r="DG31" s="406">
        <f t="shared" ref="DG31:DJ31" si="50">DG27-SUM(DG28:DG30)</f>
        <v>-7650</v>
      </c>
      <c r="DH31" s="406">
        <f t="shared" si="50"/>
        <v>-6026</v>
      </c>
      <c r="DI31" s="406">
        <f t="shared" si="50"/>
        <v>-13676</v>
      </c>
      <c r="DJ31" s="406">
        <f t="shared" si="50"/>
        <v>-10292</v>
      </c>
      <c r="DK31" s="21">
        <f>DK27-SUM(DK29:DK30)</f>
        <v>-23968</v>
      </c>
      <c r="DL31" s="20"/>
      <c r="DM31" s="25">
        <f>DM27-SUM(DM28:DM30)</f>
        <v>-4219</v>
      </c>
      <c r="DN31" s="406">
        <f>DN27-SUM(DN28:DN30)</f>
        <v>-2753</v>
      </c>
      <c r="DO31" s="406">
        <f t="shared" ref="DO31:DR31" si="51">DO27-SUM(DO28:DO30)</f>
        <v>-6972</v>
      </c>
      <c r="DP31" s="406">
        <f t="shared" si="51"/>
        <v>-2746</v>
      </c>
      <c r="DQ31" s="406">
        <f t="shared" si="51"/>
        <v>-9718</v>
      </c>
      <c r="DR31" s="406">
        <f t="shared" si="51"/>
        <v>76809</v>
      </c>
      <c r="DS31" s="21">
        <f>DS27-SUM(DS29:DS30)</f>
        <v>67091</v>
      </c>
      <c r="DT31" s="20"/>
      <c r="DU31" s="25">
        <f>DU27-SUM(DU28:DU30)</f>
        <v>-17742</v>
      </c>
      <c r="DV31" s="406">
        <f>DV27-SUM(DV28:DV30)</f>
        <v>-6871</v>
      </c>
      <c r="DW31" s="406">
        <f t="shared" ref="DW31:DZ31" si="52">DW27-SUM(DW28:DW30)</f>
        <v>-24613</v>
      </c>
      <c r="DX31" s="406">
        <f t="shared" si="52"/>
        <v>-3635</v>
      </c>
      <c r="DY31" s="406">
        <f t="shared" si="52"/>
        <v>-28248</v>
      </c>
      <c r="DZ31" s="406">
        <f t="shared" si="52"/>
        <v>-13771</v>
      </c>
      <c r="EA31" s="21">
        <f>EA27-SUM(EA29:EA30)</f>
        <v>-42019</v>
      </c>
      <c r="EB31" s="20"/>
      <c r="EC31" s="25">
        <f>EC27-SUM(EC28:EC30)</f>
        <v>-4457</v>
      </c>
      <c r="ED31" s="406">
        <f>ED27-SUM(ED28:ED30)</f>
        <v>-728</v>
      </c>
      <c r="EE31" s="406">
        <f t="shared" ref="EE31:EH31" si="53">EE27-SUM(EE28:EE30)</f>
        <v>-5185</v>
      </c>
      <c r="EF31" s="406">
        <f t="shared" si="53"/>
        <v>-2102</v>
      </c>
      <c r="EG31" s="406">
        <f t="shared" si="53"/>
        <v>-7287</v>
      </c>
      <c r="EH31" s="406">
        <f t="shared" si="53"/>
        <v>-11561</v>
      </c>
      <c r="EI31" s="21">
        <f>EI27-SUM(EI29:EI30)</f>
        <v>-18848</v>
      </c>
      <c r="EJ31" s="20"/>
      <c r="EK31" s="25">
        <f>EK27-SUM(EK28:EK30)</f>
        <v>-2793</v>
      </c>
      <c r="EL31" s="406">
        <f>EL27-SUM(EL28:EL30)</f>
        <v>68678</v>
      </c>
      <c r="EM31" s="406">
        <f t="shared" ref="EM31:EP31" si="54">EM27-SUM(EM28:EM30)</f>
        <v>66897</v>
      </c>
      <c r="EN31" s="406">
        <f t="shared" si="54"/>
        <v>-280</v>
      </c>
      <c r="EO31" s="406">
        <f t="shared" si="54"/>
        <v>66617</v>
      </c>
      <c r="EP31" s="406">
        <f t="shared" si="54"/>
        <v>-2825</v>
      </c>
      <c r="EQ31" s="21">
        <f>EQ27-SUM(EQ29:EQ30)</f>
        <v>63792</v>
      </c>
      <c r="ER31" s="20"/>
      <c r="ES31" s="25">
        <f>ES27-SUM(ES28:ES30)</f>
        <v>33345</v>
      </c>
      <c r="ET31" s="406">
        <f>ET27-SUM(ET28:ET30)</f>
        <v>-845</v>
      </c>
      <c r="EU31" s="406">
        <f t="shared" ref="EU31:EX31" si="55">EU27-SUM(EU28:EU30)</f>
        <v>32500</v>
      </c>
      <c r="EV31" s="406">
        <f t="shared" si="55"/>
        <v>-848</v>
      </c>
      <c r="EW31" s="406">
        <f t="shared" si="55"/>
        <v>31652</v>
      </c>
      <c r="EX31" s="406">
        <f t="shared" si="55"/>
        <v>-2538</v>
      </c>
      <c r="EY31" s="21">
        <f>EY27-SUM(EY29:EY30)</f>
        <v>29114</v>
      </c>
      <c r="EZ31" s="20"/>
      <c r="FA31" s="25">
        <f>FA27-SUM(FA28:FA30)</f>
        <v>-1160</v>
      </c>
      <c r="FB31" s="406">
        <f>FB27-SUM(FB28:FB30)</f>
        <v>-9348</v>
      </c>
      <c r="FC31" s="406">
        <f t="shared" ref="FC31:FE31" si="56">FC27-SUM(FC28:FC30)</f>
        <v>-10508</v>
      </c>
      <c r="FD31" s="406">
        <f t="shared" si="56"/>
        <v>-16741</v>
      </c>
      <c r="FE31" s="21">
        <f t="shared" si="56"/>
        <v>-37341</v>
      </c>
      <c r="FF31" s="4"/>
      <c r="FG31" s="4"/>
      <c r="FH31" s="4"/>
      <c r="FI31" s="4"/>
      <c r="FJ31" s="4"/>
      <c r="FK31" s="4"/>
      <c r="FL31" s="4"/>
      <c r="FM31" s="4"/>
    </row>
    <row r="32" spans="1:169" s="14" customFormat="1" x14ac:dyDescent="0.25">
      <c r="A32" s="12"/>
      <c r="B32" s="578"/>
      <c r="C32" s="12"/>
      <c r="D32" s="25"/>
      <c r="E32" s="406"/>
      <c r="F32" s="406"/>
      <c r="G32" s="406"/>
      <c r="H32" s="406"/>
      <c r="I32" s="406"/>
      <c r="J32" s="21"/>
      <c r="K32" s="12"/>
      <c r="L32" s="25"/>
      <c r="M32" s="532"/>
      <c r="N32" s="532"/>
      <c r="O32" s="532"/>
      <c r="P32" s="532"/>
      <c r="Q32" s="532"/>
      <c r="R32" s="640"/>
      <c r="S32" s="12"/>
      <c r="T32" s="25"/>
      <c r="U32" s="532"/>
      <c r="V32" s="532"/>
      <c r="W32" s="532"/>
      <c r="X32" s="532"/>
      <c r="Y32" s="532"/>
      <c r="Z32" s="640"/>
      <c r="AA32" s="274"/>
      <c r="AB32" s="25"/>
      <c r="AC32" s="532"/>
      <c r="AD32" s="532"/>
      <c r="AE32" s="532"/>
      <c r="AF32" s="532"/>
      <c r="AG32" s="532"/>
      <c r="AH32" s="640"/>
      <c r="AI32" s="406"/>
      <c r="AJ32" s="12"/>
      <c r="AK32" s="25"/>
      <c r="AL32" s="406"/>
      <c r="AM32" s="406"/>
      <c r="AN32" s="406"/>
      <c r="AO32" s="406"/>
      <c r="AP32" s="406"/>
      <c r="AQ32" s="21"/>
      <c r="AR32" s="12"/>
      <c r="AS32" s="25"/>
      <c r="AT32" s="406"/>
      <c r="AU32" s="406"/>
      <c r="AV32" s="406"/>
      <c r="AW32" s="406"/>
      <c r="AX32" s="406"/>
      <c r="AY32" s="21"/>
      <c r="AZ32" s="406"/>
      <c r="BA32" s="25"/>
      <c r="BB32" s="406"/>
      <c r="BC32" s="406"/>
      <c r="BD32" s="406"/>
      <c r="BE32" s="406"/>
      <c r="BF32" s="406"/>
      <c r="BG32" s="21"/>
      <c r="BH32" s="12"/>
      <c r="BI32" s="25"/>
      <c r="BJ32" s="406"/>
      <c r="BK32" s="406"/>
      <c r="BL32" s="406"/>
      <c r="BM32" s="406"/>
      <c r="BN32" s="406"/>
      <c r="BO32" s="21"/>
      <c r="BP32" s="12"/>
      <c r="BQ32" s="25"/>
      <c r="BR32" s="406"/>
      <c r="BS32" s="406"/>
      <c r="BT32" s="406"/>
      <c r="BU32" s="406"/>
      <c r="BV32" s="406"/>
      <c r="BW32" s="21"/>
      <c r="BX32" s="12"/>
      <c r="BY32" s="25"/>
      <c r="BZ32" s="406"/>
      <c r="CA32" s="406"/>
      <c r="CB32" s="406"/>
      <c r="CC32" s="406"/>
      <c r="CD32" s="406"/>
      <c r="CE32" s="21"/>
      <c r="CF32" s="12"/>
      <c r="CG32" s="25"/>
      <c r="CH32" s="406"/>
      <c r="CI32" s="406"/>
      <c r="CJ32" s="406"/>
      <c r="CK32" s="406"/>
      <c r="CL32" s="406"/>
      <c r="CM32" s="21"/>
      <c r="CN32" s="20"/>
      <c r="CO32" s="25"/>
      <c r="CP32" s="406"/>
      <c r="CQ32" s="406"/>
      <c r="CR32" s="406"/>
      <c r="CS32" s="406"/>
      <c r="CT32" s="406"/>
      <c r="CU32" s="21"/>
      <c r="CV32" s="20"/>
      <c r="CW32" s="25"/>
      <c r="CX32" s="406"/>
      <c r="CY32" s="406"/>
      <c r="CZ32" s="406"/>
      <c r="DA32" s="406"/>
      <c r="DB32" s="406"/>
      <c r="DC32" s="21"/>
      <c r="DD32" s="20"/>
      <c r="DE32" s="25"/>
      <c r="DF32" s="406"/>
      <c r="DG32" s="406"/>
      <c r="DH32" s="406"/>
      <c r="DI32" s="406"/>
      <c r="DJ32" s="406"/>
      <c r="DK32" s="21"/>
      <c r="DL32" s="20"/>
      <c r="DM32" s="25"/>
      <c r="DN32" s="406"/>
      <c r="DO32" s="406"/>
      <c r="DP32" s="406"/>
      <c r="DQ32" s="406"/>
      <c r="DR32" s="406"/>
      <c r="DS32" s="21"/>
      <c r="DT32" s="20"/>
      <c r="DU32" s="25"/>
      <c r="DV32" s="406"/>
      <c r="DW32" s="406"/>
      <c r="DX32" s="406"/>
      <c r="DY32" s="406"/>
      <c r="DZ32" s="406"/>
      <c r="EA32" s="21"/>
      <c r="EB32" s="20"/>
      <c r="EC32" s="25"/>
      <c r="ED32" s="406"/>
      <c r="EE32" s="406"/>
      <c r="EF32" s="406"/>
      <c r="EG32" s="406"/>
      <c r="EH32" s="406"/>
      <c r="EI32" s="21"/>
      <c r="EJ32" s="20"/>
      <c r="EK32" s="25"/>
      <c r="EL32" s="406"/>
      <c r="EM32" s="406"/>
      <c r="EN32" s="406"/>
      <c r="EO32" s="406"/>
      <c r="EP32" s="406"/>
      <c r="EQ32" s="21"/>
      <c r="ER32" s="20"/>
      <c r="ES32" s="25"/>
      <c r="ET32" s="406"/>
      <c r="EU32" s="406"/>
      <c r="EV32" s="406"/>
      <c r="EW32" s="406"/>
      <c r="EX32" s="406"/>
      <c r="EY32" s="21"/>
      <c r="EZ32" s="20"/>
      <c r="FA32" s="25"/>
      <c r="FB32" s="406"/>
      <c r="FC32" s="406"/>
      <c r="FD32" s="406"/>
      <c r="FE32" s="21"/>
      <c r="FF32" s="4"/>
      <c r="FG32" s="4"/>
      <c r="FH32" s="4"/>
      <c r="FI32" s="4"/>
      <c r="FJ32" s="4"/>
      <c r="FK32" s="4"/>
      <c r="FL32" s="4"/>
      <c r="FM32" s="4"/>
    </row>
    <row r="33" spans="1:169" ht="15" customHeight="1" outlineLevel="1" x14ac:dyDescent="0.25">
      <c r="A33" s="6" t="s">
        <v>35</v>
      </c>
      <c r="B33" s="729">
        <v>85</v>
      </c>
      <c r="C33" s="6"/>
      <c r="D33" s="636">
        <v>-19717</v>
      </c>
      <c r="E33" s="542">
        <f>F33-D33</f>
        <v>-26755</v>
      </c>
      <c r="F33" s="542">
        <v>-46472</v>
      </c>
      <c r="G33" s="542">
        <f>H33-F33</f>
        <v>-13228</v>
      </c>
      <c r="H33" s="542">
        <v>-59700</v>
      </c>
      <c r="I33" s="542">
        <f>J33-H33</f>
        <v>-7613.1129999999976</v>
      </c>
      <c r="J33" s="618">
        <v>-67313.112999999998</v>
      </c>
      <c r="K33" s="6"/>
      <c r="L33" s="713">
        <v>-28756</v>
      </c>
      <c r="M33" s="626">
        <v>-29802</v>
      </c>
      <c r="N33" s="626">
        <v>-58558</v>
      </c>
      <c r="O33" s="626">
        <f>P33-N33</f>
        <v>-28922</v>
      </c>
      <c r="P33" s="626">
        <v>-87480</v>
      </c>
      <c r="Q33" s="626">
        <f t="shared" ref="Q33" si="57">R33-P33</f>
        <v>-23545</v>
      </c>
      <c r="R33" s="627">
        <v>-111025</v>
      </c>
      <c r="S33" s="796"/>
      <c r="T33" s="713">
        <v>-12488</v>
      </c>
      <c r="U33" s="626">
        <f>V33-T33</f>
        <v>-15672</v>
      </c>
      <c r="V33" s="626">
        <v>-28160</v>
      </c>
      <c r="W33" s="626">
        <f>X33-V33</f>
        <v>-24032</v>
      </c>
      <c r="X33" s="626">
        <v>-52192</v>
      </c>
      <c r="Y33" s="626">
        <f>Z33-X33</f>
        <v>-23569</v>
      </c>
      <c r="Z33" s="627">
        <v>-75761</v>
      </c>
      <c r="AA33" s="796"/>
      <c r="AB33" s="713">
        <v>-12312</v>
      </c>
      <c r="AC33" s="626">
        <f>AD33-AB33</f>
        <v>-7212.0499999999993</v>
      </c>
      <c r="AD33" s="626">
        <v>-19524.05</v>
      </c>
      <c r="AE33" s="626">
        <f>AF33-AD33</f>
        <v>-8530.7230000000018</v>
      </c>
      <c r="AF33" s="626">
        <v>-28054.773000000001</v>
      </c>
      <c r="AG33" s="626">
        <f>AH33-AF33</f>
        <v>-22184.974999999999</v>
      </c>
      <c r="AH33" s="627">
        <v>-50239.748</v>
      </c>
      <c r="AI33" s="406"/>
      <c r="AJ33" s="6" t="s">
        <v>35</v>
      </c>
      <c r="AK33" s="27">
        <v>3002</v>
      </c>
      <c r="AL33" s="408">
        <v>3379</v>
      </c>
      <c r="AM33" s="408">
        <v>6381</v>
      </c>
      <c r="AN33" s="408">
        <v>1534</v>
      </c>
      <c r="AO33" s="408">
        <v>7915</v>
      </c>
      <c r="AP33" s="408">
        <f>AQ33-AO33</f>
        <v>-175</v>
      </c>
      <c r="AQ33" s="29">
        <v>7740</v>
      </c>
      <c r="AR33" s="6"/>
      <c r="AS33" s="27">
        <v>1215</v>
      </c>
      <c r="AT33" s="408">
        <v>1071</v>
      </c>
      <c r="AU33" s="408">
        <v>2286</v>
      </c>
      <c r="AV33" s="408">
        <v>1717</v>
      </c>
      <c r="AW33" s="408">
        <v>4003</v>
      </c>
      <c r="AX33" s="408">
        <v>414</v>
      </c>
      <c r="AY33" s="29">
        <v>4417</v>
      </c>
      <c r="AZ33" s="408"/>
      <c r="BA33" s="27">
        <v>1300</v>
      </c>
      <c r="BB33" s="408">
        <v>1455</v>
      </c>
      <c r="BC33" s="408">
        <v>2755</v>
      </c>
      <c r="BD33" s="408">
        <v>1242</v>
      </c>
      <c r="BE33" s="408">
        <v>3997</v>
      </c>
      <c r="BF33" s="408">
        <v>1545</v>
      </c>
      <c r="BG33" s="29">
        <v>5542</v>
      </c>
      <c r="BH33" s="6"/>
      <c r="BI33" s="27">
        <v>720</v>
      </c>
      <c r="BJ33" s="408">
        <v>1441</v>
      </c>
      <c r="BK33" s="408">
        <v>2161</v>
      </c>
      <c r="BL33" s="408">
        <v>1040</v>
      </c>
      <c r="BM33" s="408">
        <v>3201</v>
      </c>
      <c r="BN33" s="408">
        <v>711</v>
      </c>
      <c r="BO33" s="29">
        <v>3912</v>
      </c>
      <c r="BP33" s="6"/>
      <c r="BQ33" s="27">
        <v>470</v>
      </c>
      <c r="BR33" s="408">
        <v>1372</v>
      </c>
      <c r="BS33" s="408">
        <v>1842</v>
      </c>
      <c r="BT33" s="408">
        <v>650</v>
      </c>
      <c r="BU33" s="408">
        <v>2492</v>
      </c>
      <c r="BV33" s="408">
        <v>3129</v>
      </c>
      <c r="BW33" s="29">
        <v>5621</v>
      </c>
      <c r="BX33" s="6"/>
      <c r="BY33" s="27">
        <v>0</v>
      </c>
      <c r="BZ33" s="408">
        <v>0</v>
      </c>
      <c r="CA33" s="408">
        <v>0</v>
      </c>
      <c r="CB33" s="408">
        <v>1749</v>
      </c>
      <c r="CC33" s="408">
        <v>1749</v>
      </c>
      <c r="CD33" s="408">
        <v>212</v>
      </c>
      <c r="CE33" s="106">
        <v>1961</v>
      </c>
      <c r="CF33" s="6"/>
      <c r="CG33" s="27">
        <v>-385</v>
      </c>
      <c r="CH33" s="408">
        <v>2118</v>
      </c>
      <c r="CI33" s="408">
        <v>1733</v>
      </c>
      <c r="CJ33" s="408">
        <v>1518</v>
      </c>
      <c r="CK33" s="408">
        <v>3251</v>
      </c>
      <c r="CL33" s="408">
        <v>681</v>
      </c>
      <c r="CM33" s="106">
        <v>3932</v>
      </c>
      <c r="CN33" s="28"/>
      <c r="CO33" s="27">
        <v>2714</v>
      </c>
      <c r="CP33" s="408">
        <v>6600</v>
      </c>
      <c r="CQ33" s="408">
        <v>9314</v>
      </c>
      <c r="CR33" s="408">
        <v>1432</v>
      </c>
      <c r="CS33" s="408">
        <v>10746</v>
      </c>
      <c r="CT33" s="408">
        <v>1574</v>
      </c>
      <c r="CU33" s="29">
        <v>12320</v>
      </c>
      <c r="CV33" s="28"/>
      <c r="CW33" s="27">
        <v>2032</v>
      </c>
      <c r="CX33" s="408">
        <v>2525</v>
      </c>
      <c r="CY33" s="408">
        <v>4557</v>
      </c>
      <c r="CZ33" s="408">
        <v>4909</v>
      </c>
      <c r="DA33" s="408">
        <v>9466</v>
      </c>
      <c r="DB33" s="408">
        <v>1286</v>
      </c>
      <c r="DC33" s="29">
        <v>10752</v>
      </c>
      <c r="DD33" s="28"/>
      <c r="DE33" s="27">
        <v>1675</v>
      </c>
      <c r="DF33" s="408">
        <v>2136</v>
      </c>
      <c r="DG33" s="408">
        <v>3811</v>
      </c>
      <c r="DH33" s="408">
        <v>2959</v>
      </c>
      <c r="DI33" s="408">
        <v>6770</v>
      </c>
      <c r="DJ33" s="408">
        <v>1512</v>
      </c>
      <c r="DK33" s="29">
        <v>8282</v>
      </c>
      <c r="DL33" s="28"/>
      <c r="DM33" s="27">
        <v>407</v>
      </c>
      <c r="DN33" s="408">
        <v>1888</v>
      </c>
      <c r="DO33" s="408">
        <v>2295</v>
      </c>
      <c r="DP33" s="408">
        <v>4374</v>
      </c>
      <c r="DQ33" s="408">
        <v>6669</v>
      </c>
      <c r="DR33" s="408">
        <v>1184</v>
      </c>
      <c r="DS33" s="29">
        <v>7853</v>
      </c>
      <c r="DT33" s="28"/>
      <c r="DU33" s="27">
        <v>682</v>
      </c>
      <c r="DV33" s="408">
        <v>717</v>
      </c>
      <c r="DW33" s="408">
        <v>1399</v>
      </c>
      <c r="DX33" s="408">
        <v>642</v>
      </c>
      <c r="DY33" s="408">
        <v>2041</v>
      </c>
      <c r="DZ33" s="408">
        <v>1946</v>
      </c>
      <c r="EA33" s="29">
        <v>3987</v>
      </c>
      <c r="EB33" s="28"/>
      <c r="EC33" s="27">
        <v>-14915</v>
      </c>
      <c r="ED33" s="408">
        <v>-777</v>
      </c>
      <c r="EE33" s="408">
        <v>-15692</v>
      </c>
      <c r="EF33" s="408">
        <v>687</v>
      </c>
      <c r="EG33" s="408">
        <v>-15005</v>
      </c>
      <c r="EH33" s="408">
        <v>1630</v>
      </c>
      <c r="EI33" s="29">
        <v>-13375</v>
      </c>
      <c r="EJ33" s="28"/>
      <c r="EK33" s="27">
        <v>-290</v>
      </c>
      <c r="EL33" s="408">
        <v>1218</v>
      </c>
      <c r="EM33" s="408">
        <v>705</v>
      </c>
      <c r="EN33" s="408">
        <v>1590</v>
      </c>
      <c r="EO33" s="408">
        <v>2295</v>
      </c>
      <c r="EP33" s="408">
        <v>1198</v>
      </c>
      <c r="EQ33" s="29">
        <v>3493</v>
      </c>
      <c r="ER33" s="28"/>
      <c r="ES33" s="27">
        <v>42</v>
      </c>
      <c r="ET33" s="408">
        <v>207</v>
      </c>
      <c r="EU33" s="408">
        <v>249</v>
      </c>
      <c r="EV33" s="408">
        <v>620</v>
      </c>
      <c r="EW33" s="408">
        <v>869</v>
      </c>
      <c r="EX33" s="408">
        <v>11071</v>
      </c>
      <c r="EY33" s="29">
        <v>11940</v>
      </c>
      <c r="EZ33" s="28"/>
      <c r="FA33" s="27">
        <v>709</v>
      </c>
      <c r="FB33" s="408">
        <v>1187</v>
      </c>
      <c r="FC33" s="408">
        <v>1896</v>
      </c>
      <c r="FD33" s="408">
        <v>-651</v>
      </c>
      <c r="FE33" s="29">
        <v>1245</v>
      </c>
    </row>
    <row r="34" spans="1:169" ht="15" customHeight="1" outlineLevel="1" x14ac:dyDescent="0.4">
      <c r="A34" s="6" t="s">
        <v>207</v>
      </c>
      <c r="B34" s="744">
        <v>0</v>
      </c>
      <c r="C34" s="6"/>
      <c r="D34" s="689">
        <v>0</v>
      </c>
      <c r="E34" s="615">
        <v>0</v>
      </c>
      <c r="F34" s="615">
        <v>0</v>
      </c>
      <c r="G34" s="615">
        <v>0</v>
      </c>
      <c r="H34" s="615">
        <v>0</v>
      </c>
      <c r="I34" s="615">
        <v>0</v>
      </c>
      <c r="J34" s="712">
        <v>0</v>
      </c>
      <c r="K34" s="6"/>
      <c r="L34" s="781">
        <v>-336</v>
      </c>
      <c r="M34" s="777">
        <f t="shared" ref="M34" si="58">N34-L34</f>
        <v>-235</v>
      </c>
      <c r="N34" s="777">
        <v>-571</v>
      </c>
      <c r="O34" s="777">
        <f t="shared" ref="O34" si="59">P34-N34</f>
        <v>-592</v>
      </c>
      <c r="P34" s="777">
        <v>-1163</v>
      </c>
      <c r="Q34" s="777">
        <f>R34-P34</f>
        <v>-1721</v>
      </c>
      <c r="R34" s="779">
        <v>-2884</v>
      </c>
      <c r="S34" s="795"/>
      <c r="T34" s="780">
        <f>-777+583</f>
        <v>-194</v>
      </c>
      <c r="U34" s="778">
        <f>V34-T34</f>
        <v>89</v>
      </c>
      <c r="V34" s="778">
        <v>-105</v>
      </c>
      <c r="W34" s="778">
        <f>X34-V34</f>
        <v>625</v>
      </c>
      <c r="X34" s="461">
        <v>520</v>
      </c>
      <c r="Y34" s="778">
        <f>Z34-X34</f>
        <v>-824</v>
      </c>
      <c r="Z34" s="113">
        <v>-304</v>
      </c>
      <c r="AA34" s="404"/>
      <c r="AB34" s="780">
        <v>1320</v>
      </c>
      <c r="AC34" s="778">
        <f>AD34-AB34</f>
        <v>1071</v>
      </c>
      <c r="AD34" s="461">
        <v>2391</v>
      </c>
      <c r="AE34" s="461">
        <f>AF34-AD34</f>
        <v>923</v>
      </c>
      <c r="AF34" s="461">
        <v>3314</v>
      </c>
      <c r="AG34" s="461">
        <f>AH34-AF34</f>
        <v>-2056</v>
      </c>
      <c r="AH34" s="113">
        <v>1258</v>
      </c>
      <c r="AI34" s="406"/>
      <c r="AJ34" s="6" t="s">
        <v>207</v>
      </c>
      <c r="AK34" s="31">
        <v>0</v>
      </c>
      <c r="AL34" s="410">
        <v>0</v>
      </c>
      <c r="AM34" s="410">
        <v>0</v>
      </c>
      <c r="AN34" s="410">
        <v>522</v>
      </c>
      <c r="AO34" s="410">
        <v>522</v>
      </c>
      <c r="AP34" s="410">
        <f>AQ34-AO34</f>
        <v>3995</v>
      </c>
      <c r="AQ34" s="33">
        <v>4517</v>
      </c>
      <c r="AR34" s="6"/>
      <c r="AS34" s="31">
        <v>0</v>
      </c>
      <c r="AT34" s="410">
        <v>0</v>
      </c>
      <c r="AU34" s="410">
        <v>0</v>
      </c>
      <c r="AV34" s="410">
        <v>0</v>
      </c>
      <c r="AW34" s="410">
        <v>0</v>
      </c>
      <c r="AX34" s="410">
        <v>0</v>
      </c>
      <c r="AY34" s="33">
        <v>0</v>
      </c>
      <c r="AZ34" s="408"/>
      <c r="BA34" s="31">
        <v>-450</v>
      </c>
      <c r="BB34" s="410">
        <v>184</v>
      </c>
      <c r="BC34" s="410">
        <v>-266</v>
      </c>
      <c r="BD34" s="410">
        <v>0</v>
      </c>
      <c r="BE34" s="410">
        <v>-266</v>
      </c>
      <c r="BF34" s="410">
        <v>0</v>
      </c>
      <c r="BG34" s="33">
        <v>-266</v>
      </c>
      <c r="BH34" s="6"/>
      <c r="BI34" s="27">
        <v>0</v>
      </c>
      <c r="BJ34" s="408">
        <v>0</v>
      </c>
      <c r="BK34" s="408">
        <v>0</v>
      </c>
      <c r="BL34" s="408">
        <v>0</v>
      </c>
      <c r="BM34" s="408">
        <v>0</v>
      </c>
      <c r="BN34" s="408">
        <v>0</v>
      </c>
      <c r="BO34" s="29">
        <v>0</v>
      </c>
      <c r="BP34" s="6"/>
      <c r="BQ34" s="31">
        <v>0</v>
      </c>
      <c r="BR34" s="410">
        <v>0</v>
      </c>
      <c r="BS34" s="410">
        <v>0</v>
      </c>
      <c r="BT34" s="410">
        <v>0</v>
      </c>
      <c r="BU34" s="410">
        <v>0</v>
      </c>
      <c r="BV34" s="410">
        <v>0</v>
      </c>
      <c r="BW34" s="33">
        <v>0</v>
      </c>
      <c r="BX34" s="6"/>
      <c r="BY34" s="31">
        <v>0</v>
      </c>
      <c r="BZ34" s="410">
        <v>0</v>
      </c>
      <c r="CA34" s="410">
        <v>0</v>
      </c>
      <c r="CB34" s="410">
        <v>-116</v>
      </c>
      <c r="CC34" s="410">
        <v>-116</v>
      </c>
      <c r="CD34" s="410">
        <v>0</v>
      </c>
      <c r="CE34" s="113">
        <v>-116</v>
      </c>
      <c r="CF34" s="6"/>
      <c r="CG34" s="31">
        <v>0</v>
      </c>
      <c r="CH34" s="410">
        <v>0</v>
      </c>
      <c r="CI34" s="410">
        <v>0</v>
      </c>
      <c r="CJ34" s="410">
        <v>0</v>
      </c>
      <c r="CK34" s="410">
        <v>0</v>
      </c>
      <c r="CL34" s="410">
        <v>0</v>
      </c>
      <c r="CM34" s="33">
        <v>0</v>
      </c>
      <c r="CN34" s="28"/>
      <c r="CO34" s="31">
        <v>0</v>
      </c>
      <c r="CP34" s="410">
        <v>0</v>
      </c>
      <c r="CQ34" s="410">
        <v>0</v>
      </c>
      <c r="CR34" s="410">
        <v>0</v>
      </c>
      <c r="CS34" s="410">
        <v>0</v>
      </c>
      <c r="CT34" s="410">
        <v>0</v>
      </c>
      <c r="CU34" s="33">
        <v>0</v>
      </c>
      <c r="CV34" s="28"/>
      <c r="CW34" s="31">
        <v>0</v>
      </c>
      <c r="CX34" s="410">
        <v>0</v>
      </c>
      <c r="CY34" s="410">
        <v>0</v>
      </c>
      <c r="CZ34" s="410">
        <v>0</v>
      </c>
      <c r="DA34" s="410">
        <v>0</v>
      </c>
      <c r="DB34" s="410">
        <v>0</v>
      </c>
      <c r="DC34" s="33">
        <v>0</v>
      </c>
      <c r="DD34" s="28"/>
      <c r="DE34" s="31">
        <v>0</v>
      </c>
      <c r="DF34" s="410">
        <v>0</v>
      </c>
      <c r="DG34" s="410">
        <v>0</v>
      </c>
      <c r="DH34" s="410">
        <v>0</v>
      </c>
      <c r="DI34" s="410">
        <v>0</v>
      </c>
      <c r="DJ34" s="410">
        <v>0</v>
      </c>
      <c r="DK34" s="33">
        <v>0</v>
      </c>
      <c r="DL34" s="28"/>
      <c r="DM34" s="31">
        <v>0</v>
      </c>
      <c r="DN34" s="410">
        <v>0</v>
      </c>
      <c r="DO34" s="410">
        <v>0</v>
      </c>
      <c r="DP34" s="410">
        <v>0</v>
      </c>
      <c r="DQ34" s="410">
        <v>0</v>
      </c>
      <c r="DR34" s="410">
        <v>0</v>
      </c>
      <c r="DS34" s="33">
        <v>0</v>
      </c>
      <c r="DT34" s="28"/>
      <c r="DU34" s="31">
        <v>0</v>
      </c>
      <c r="DV34" s="410">
        <v>0</v>
      </c>
      <c r="DW34" s="410">
        <v>0</v>
      </c>
      <c r="DX34" s="410">
        <v>0</v>
      </c>
      <c r="DY34" s="410">
        <v>0</v>
      </c>
      <c r="DZ34" s="410">
        <v>0</v>
      </c>
      <c r="EA34" s="33">
        <v>0</v>
      </c>
      <c r="EB34" s="28"/>
      <c r="EC34" s="31">
        <v>0</v>
      </c>
      <c r="ED34" s="410">
        <v>0</v>
      </c>
      <c r="EE34" s="410">
        <v>0</v>
      </c>
      <c r="EF34" s="410">
        <v>0</v>
      </c>
      <c r="EG34" s="410">
        <v>0</v>
      </c>
      <c r="EH34" s="410">
        <v>0</v>
      </c>
      <c r="EI34" s="33">
        <v>0</v>
      </c>
      <c r="EJ34" s="28"/>
      <c r="EK34" s="31">
        <v>0</v>
      </c>
      <c r="EL34" s="410">
        <v>0</v>
      </c>
      <c r="EM34" s="410">
        <v>0</v>
      </c>
      <c r="EN34" s="410">
        <v>0</v>
      </c>
      <c r="EO34" s="410">
        <v>0</v>
      </c>
      <c r="EP34" s="410">
        <v>0</v>
      </c>
      <c r="EQ34" s="33">
        <v>0</v>
      </c>
      <c r="ER34" s="28"/>
      <c r="ES34" s="31">
        <v>0</v>
      </c>
      <c r="ET34" s="410">
        <v>0</v>
      </c>
      <c r="EU34" s="410">
        <v>0</v>
      </c>
      <c r="EV34" s="410">
        <v>0</v>
      </c>
      <c r="EW34" s="410">
        <v>0</v>
      </c>
      <c r="EX34" s="410">
        <v>0</v>
      </c>
      <c r="EY34" s="33">
        <v>0</v>
      </c>
      <c r="EZ34" s="28"/>
      <c r="FA34" s="31"/>
      <c r="FB34" s="410"/>
      <c r="FC34" s="410"/>
      <c r="FD34" s="410"/>
      <c r="FE34" s="33"/>
    </row>
    <row r="35" spans="1:169" s="14" customFormat="1" x14ac:dyDescent="0.25">
      <c r="A35" s="89" t="s">
        <v>263</v>
      </c>
      <c r="B35" s="578">
        <f>B31-SUM(B33:B34)</f>
        <v>-38898.410000000003</v>
      </c>
      <c r="C35" s="12"/>
      <c r="D35" s="25">
        <f>D31-SUM(D33:D34)</f>
        <v>10999.111000000006</v>
      </c>
      <c r="E35" s="406">
        <f>E31-SUM(E33:E34)</f>
        <v>10298.708999999999</v>
      </c>
      <c r="F35" s="406">
        <f t="shared" ref="F35:I35" si="60">F31-SUM(F33:F34)</f>
        <v>21297.82</v>
      </c>
      <c r="G35" s="406">
        <f t="shared" si="60"/>
        <v>-64639.239999999976</v>
      </c>
      <c r="H35" s="406">
        <f t="shared" si="60"/>
        <v>-43341.669999999984</v>
      </c>
      <c r="I35" s="406">
        <f t="shared" si="60"/>
        <v>-66626.213999999993</v>
      </c>
      <c r="J35" s="21">
        <f>J31-SUM(J33:J34)</f>
        <v>-109967.88400000001</v>
      </c>
      <c r="K35" s="12"/>
      <c r="L35" s="25">
        <f>L31-SUM(L33:L34)</f>
        <v>25359.125</v>
      </c>
      <c r="M35" s="406">
        <f>M31-SUM(M33:M34)</f>
        <v>21569.834000000003</v>
      </c>
      <c r="N35" s="406">
        <f t="shared" ref="N35" si="61">N31-SUM(N33:N34)</f>
        <v>46931.721000000005</v>
      </c>
      <c r="O35" s="406">
        <f t="shared" ref="O35" si="62">O31-SUM(O33:O34)</f>
        <v>17574.673000000003</v>
      </c>
      <c r="P35" s="406">
        <f t="shared" ref="P35" si="63">P31-SUM(P33:P34)</f>
        <v>64501.226000000002</v>
      </c>
      <c r="Q35" s="406">
        <f t="shared" ref="Q35" si="64">Q31-SUM(Q33:Q34)</f>
        <v>18829.177</v>
      </c>
      <c r="R35" s="21">
        <f>R31-SUM(R33:R34)</f>
        <v>83330.402999999991</v>
      </c>
      <c r="S35" s="12"/>
      <c r="T35" s="25">
        <f>T31-SUM(T33:T34)</f>
        <v>105223.94899999999</v>
      </c>
      <c r="U35" s="406">
        <f>U31-SUM(U33:U34)</f>
        <v>10083.616</v>
      </c>
      <c r="V35" s="406">
        <f t="shared" ref="V35" si="65">V31-SUM(V33:V34)</f>
        <v>115307.565</v>
      </c>
      <c r="W35" s="406">
        <f t="shared" ref="W35" si="66">W31-SUM(W33:W34)</f>
        <v>19618.938000000002</v>
      </c>
      <c r="X35" s="406">
        <f t="shared" ref="X35" si="67">X31-SUM(X33:X34)</f>
        <v>134926.503</v>
      </c>
      <c r="Y35" s="406">
        <f t="shared" ref="Y35" si="68">Y31-SUM(Y33:Y34)</f>
        <v>187909.93100000001</v>
      </c>
      <c r="Z35" s="21">
        <f>Z31-SUM(Z33:Z34)</f>
        <v>322836.43400000001</v>
      </c>
      <c r="AA35" s="274"/>
      <c r="AB35" s="25">
        <f>AB31-SUM(AB33:AB34)</f>
        <v>12029.385170000001</v>
      </c>
      <c r="AC35" s="406">
        <f>AC31-SUM(AC33:AC34)</f>
        <v>390.72333000000071</v>
      </c>
      <c r="AD35" s="406">
        <f t="shared" ref="AD35" si="69">AD31-SUM(AD33:AD34)</f>
        <v>12420.108499999998</v>
      </c>
      <c r="AE35" s="406">
        <f t="shared" ref="AE35" si="70">AE31-SUM(AE33:AE34)</f>
        <v>-14957.66028</v>
      </c>
      <c r="AF35" s="406">
        <f t="shared" ref="AF35" si="71">AF31-SUM(AF33:AF34)</f>
        <v>-2537.5517800000016</v>
      </c>
      <c r="AG35" s="406">
        <f t="shared" ref="AG35" si="72">AG31-SUM(AG33:AG34)</f>
        <v>2630.9383700000035</v>
      </c>
      <c r="AH35" s="21">
        <f>AH31-SUM(AH33:AH34)</f>
        <v>93.386590000001888</v>
      </c>
      <c r="AI35" s="406"/>
      <c r="AJ35" s="89" t="s">
        <v>263</v>
      </c>
      <c r="AK35" s="25">
        <f>AK31-SUM(AK33:AK34)</f>
        <v>-11783</v>
      </c>
      <c r="AL35" s="406">
        <f>AL31-SUM(AL33:AL34)</f>
        <v>-47362</v>
      </c>
      <c r="AM35" s="406">
        <f t="shared" ref="AM35:AP35" si="73">AM31-SUM(AM33:AM34)</f>
        <v>-59145</v>
      </c>
      <c r="AN35" s="406">
        <f t="shared" si="73"/>
        <v>66401</v>
      </c>
      <c r="AO35" s="406">
        <f t="shared" si="73"/>
        <v>7256</v>
      </c>
      <c r="AP35" s="406">
        <f t="shared" si="73"/>
        <v>-4368</v>
      </c>
      <c r="AQ35" s="21">
        <f>AQ31-SUM(AQ33:AQ34)</f>
        <v>2888</v>
      </c>
      <c r="AR35" s="12"/>
      <c r="AS35" s="25">
        <f>AS31-SUM(AS33:AS34)</f>
        <v>-2850</v>
      </c>
      <c r="AT35" s="406">
        <f>AT31-SUM(AT33:AT34)</f>
        <v>-2957</v>
      </c>
      <c r="AU35" s="406">
        <f t="shared" ref="AU35:AX35" si="74">AU31-SUM(AU33:AU34)</f>
        <v>-5807</v>
      </c>
      <c r="AV35" s="406">
        <f t="shared" si="74"/>
        <v>-8731</v>
      </c>
      <c r="AW35" s="406">
        <f t="shared" si="74"/>
        <v>-14538</v>
      </c>
      <c r="AX35" s="406">
        <f t="shared" si="74"/>
        <v>-8944</v>
      </c>
      <c r="AY35" s="21">
        <f>AY31-SUM(AY33:AY34)</f>
        <v>-23482</v>
      </c>
      <c r="AZ35" s="406"/>
      <c r="BA35" s="25">
        <f>BA31-SUM(BA33:BA34)</f>
        <v>108186</v>
      </c>
      <c r="BB35" s="406">
        <f>BB31-SUM(BB33:BB34)</f>
        <v>209836</v>
      </c>
      <c r="BC35" s="406">
        <f t="shared" ref="BC35:BF35" si="75">BC31-SUM(BC33:BC34)</f>
        <v>318022</v>
      </c>
      <c r="BD35" s="406">
        <f t="shared" si="75"/>
        <v>-12412</v>
      </c>
      <c r="BE35" s="406">
        <f t="shared" si="75"/>
        <v>305610</v>
      </c>
      <c r="BF35" s="406">
        <f t="shared" si="75"/>
        <v>-11745</v>
      </c>
      <c r="BG35" s="21">
        <f>BG31-SUM(BG33:BG34)</f>
        <v>293865</v>
      </c>
      <c r="BH35" s="12"/>
      <c r="BI35" s="25">
        <f>BI31-SUM(BI33:BI34)</f>
        <v>-565</v>
      </c>
      <c r="BJ35" s="406">
        <f>BJ31-SUM(BJ33:BJ34)</f>
        <v>-3959</v>
      </c>
      <c r="BK35" s="406">
        <f t="shared" ref="BK35:BN35" si="76">BK31-SUM(BK33:BK34)</f>
        <v>-4524</v>
      </c>
      <c r="BL35" s="406">
        <f t="shared" si="76"/>
        <v>-1893</v>
      </c>
      <c r="BM35" s="406">
        <f t="shared" si="76"/>
        <v>-6417</v>
      </c>
      <c r="BN35" s="406">
        <f t="shared" si="76"/>
        <v>-10343</v>
      </c>
      <c r="BO35" s="21">
        <f>BO31-SUM(BO33:BO34)</f>
        <v>-16760</v>
      </c>
      <c r="BP35" s="12"/>
      <c r="BQ35" s="25">
        <f>BQ31-SUM(BQ33:BQ34)</f>
        <v>-7142</v>
      </c>
      <c r="BR35" s="406">
        <f>BR31-SUM(BR33:BR34)</f>
        <v>-2441</v>
      </c>
      <c r="BS35" s="406">
        <f t="shared" ref="BS35:BV35" si="77">BS31-SUM(BS33:BS34)</f>
        <v>-9583</v>
      </c>
      <c r="BT35" s="406">
        <f t="shared" si="77"/>
        <v>1684</v>
      </c>
      <c r="BU35" s="406">
        <f t="shared" si="77"/>
        <v>-7899</v>
      </c>
      <c r="BV35" s="406">
        <f t="shared" si="77"/>
        <v>-2299</v>
      </c>
      <c r="BW35" s="21">
        <f>BW31-SUM(BW33:BW34)</f>
        <v>-10198</v>
      </c>
      <c r="BX35" s="12"/>
      <c r="BY35" s="25">
        <f>BY31-SUM(BY33:BY34)</f>
        <v>-17284</v>
      </c>
      <c r="BZ35" s="406">
        <f>BZ31-SUM(BZ33:BZ34)</f>
        <v>15793</v>
      </c>
      <c r="CA35" s="406">
        <f t="shared" ref="CA35:CD35" si="78">CA31-SUM(CA33:CA34)</f>
        <v>-1491</v>
      </c>
      <c r="CB35" s="406">
        <f t="shared" si="78"/>
        <v>51046</v>
      </c>
      <c r="CC35" s="406">
        <f t="shared" si="78"/>
        <v>49555</v>
      </c>
      <c r="CD35" s="406">
        <f t="shared" si="78"/>
        <v>19453</v>
      </c>
      <c r="CE35" s="21">
        <f>CE31-SUM(CE33:CE34)</f>
        <v>69008</v>
      </c>
      <c r="CF35" s="12"/>
      <c r="CG35" s="25">
        <f>CG31-SUM(CG33:CG34)</f>
        <v>-19570</v>
      </c>
      <c r="CH35" s="406">
        <f>CH31-SUM(CH33:CH34)</f>
        <v>10230</v>
      </c>
      <c r="CI35" s="406">
        <f t="shared" ref="CI35:CL35" si="79">CI31-SUM(CI33:CI34)</f>
        <v>-9340</v>
      </c>
      <c r="CJ35" s="406">
        <f t="shared" si="79"/>
        <v>154379</v>
      </c>
      <c r="CK35" s="406">
        <f t="shared" si="79"/>
        <v>145039</v>
      </c>
      <c r="CL35" s="406">
        <f t="shared" si="79"/>
        <v>-8264</v>
      </c>
      <c r="CM35" s="21">
        <f>CM31-SUM(CM33:CM34)</f>
        <v>136775</v>
      </c>
      <c r="CN35" s="20"/>
      <c r="CO35" s="25">
        <f>CO31-SUM(CO33:CO34)</f>
        <v>-5047</v>
      </c>
      <c r="CP35" s="406">
        <f>CP31-SUM(CP33:CP34)</f>
        <v>-11131</v>
      </c>
      <c r="CQ35" s="406">
        <f t="shared" ref="CQ35:CT35" si="80">CQ31-SUM(CQ33:CQ34)</f>
        <v>-16178</v>
      </c>
      <c r="CR35" s="406">
        <f t="shared" si="80"/>
        <v>258451</v>
      </c>
      <c r="CS35" s="406">
        <f t="shared" si="80"/>
        <v>242273</v>
      </c>
      <c r="CT35" s="406">
        <f t="shared" si="80"/>
        <v>2712</v>
      </c>
      <c r="CU35" s="21">
        <f>CU31-SUM(CU33:CU34)</f>
        <v>244985</v>
      </c>
      <c r="CV35" s="20"/>
      <c r="CW35" s="25">
        <f>CW31-SUM(CW33:CW34)</f>
        <v>-8934</v>
      </c>
      <c r="CX35" s="406">
        <f>CX31-SUM(CX33:CX34)</f>
        <v>-12493</v>
      </c>
      <c r="CY35" s="406">
        <f t="shared" ref="CY35:DB35" si="81">CY31-SUM(CY33:CY34)</f>
        <v>-21427</v>
      </c>
      <c r="CZ35" s="406">
        <f t="shared" si="81"/>
        <v>56448</v>
      </c>
      <c r="DA35" s="406">
        <f t="shared" si="81"/>
        <v>35021</v>
      </c>
      <c r="DB35" s="406">
        <f t="shared" si="81"/>
        <v>-4291</v>
      </c>
      <c r="DC35" s="21">
        <f>DC31-SUM(DC33:DC34)</f>
        <v>30730</v>
      </c>
      <c r="DD35" s="20"/>
      <c r="DE35" s="25">
        <f>DE31-SUM(DE33:DE34)</f>
        <v>-3801</v>
      </c>
      <c r="DF35" s="406">
        <f>DF31-SUM(DF33:DF34)</f>
        <v>-7660</v>
      </c>
      <c r="DG35" s="406">
        <f t="shared" ref="DG35:DJ35" si="82">DG31-SUM(DG33:DG34)</f>
        <v>-11461</v>
      </c>
      <c r="DH35" s="406">
        <f t="shared" si="82"/>
        <v>-8985</v>
      </c>
      <c r="DI35" s="406">
        <f t="shared" si="82"/>
        <v>-20446</v>
      </c>
      <c r="DJ35" s="406">
        <f t="shared" si="82"/>
        <v>-11804</v>
      </c>
      <c r="DK35" s="21">
        <f>DK31-SUM(DK33:DK34)</f>
        <v>-32250</v>
      </c>
      <c r="DL35" s="20"/>
      <c r="DM35" s="25">
        <f>DM31-SUM(DM33:DM34)</f>
        <v>-4626</v>
      </c>
      <c r="DN35" s="406">
        <f>DN31-SUM(DN33:DN34)</f>
        <v>-4641</v>
      </c>
      <c r="DO35" s="406">
        <f t="shared" ref="DO35:DR35" si="83">DO31-SUM(DO33:DO34)</f>
        <v>-9267</v>
      </c>
      <c r="DP35" s="406">
        <f t="shared" si="83"/>
        <v>-7120</v>
      </c>
      <c r="DQ35" s="406">
        <f t="shared" si="83"/>
        <v>-16387</v>
      </c>
      <c r="DR35" s="406">
        <f t="shared" si="83"/>
        <v>75625</v>
      </c>
      <c r="DS35" s="21">
        <f>DS31-SUM(DS33:DS34)</f>
        <v>59238</v>
      </c>
      <c r="DT35" s="20"/>
      <c r="DU35" s="25">
        <f>DU31-SUM(DU33:DU34)</f>
        <v>-18424</v>
      </c>
      <c r="DV35" s="406">
        <f>DV31-SUM(DV33:DV34)</f>
        <v>-7588</v>
      </c>
      <c r="DW35" s="406">
        <f t="shared" ref="DW35:DZ35" si="84">DW31-SUM(DW33:DW34)</f>
        <v>-26012</v>
      </c>
      <c r="DX35" s="406">
        <f t="shared" si="84"/>
        <v>-4277</v>
      </c>
      <c r="DY35" s="406">
        <f t="shared" si="84"/>
        <v>-30289</v>
      </c>
      <c r="DZ35" s="406">
        <f t="shared" si="84"/>
        <v>-15717</v>
      </c>
      <c r="EA35" s="21">
        <f>EA31-SUM(EA33:EA34)</f>
        <v>-46006</v>
      </c>
      <c r="EB35" s="20"/>
      <c r="EC35" s="25">
        <f>EC31-SUM(EC33:EC34)</f>
        <v>10458</v>
      </c>
      <c r="ED35" s="406">
        <f>ED31-SUM(ED33:ED34)</f>
        <v>49</v>
      </c>
      <c r="EE35" s="406">
        <f t="shared" ref="EE35:EH35" si="85">EE31-SUM(EE33:EE34)</f>
        <v>10507</v>
      </c>
      <c r="EF35" s="406">
        <f t="shared" si="85"/>
        <v>-2789</v>
      </c>
      <c r="EG35" s="406">
        <f t="shared" si="85"/>
        <v>7718</v>
      </c>
      <c r="EH35" s="406">
        <f t="shared" si="85"/>
        <v>-13191</v>
      </c>
      <c r="EI35" s="21">
        <f>EI31-SUM(EI33:EI34)</f>
        <v>-5473</v>
      </c>
      <c r="EJ35" s="20"/>
      <c r="EK35" s="25">
        <f>EK31-SUM(EK33:EK34)</f>
        <v>-2503</v>
      </c>
      <c r="EL35" s="406">
        <f>EL31-SUM(EL33:EL34)</f>
        <v>67460</v>
      </c>
      <c r="EM35" s="406">
        <f t="shared" ref="EM35:EP35" si="86">EM31-SUM(EM33:EM34)</f>
        <v>66192</v>
      </c>
      <c r="EN35" s="406">
        <f t="shared" si="86"/>
        <v>-1870</v>
      </c>
      <c r="EO35" s="406">
        <f t="shared" si="86"/>
        <v>64322</v>
      </c>
      <c r="EP35" s="406">
        <f t="shared" si="86"/>
        <v>-4023</v>
      </c>
      <c r="EQ35" s="21">
        <f>EQ31-SUM(EQ33:EQ34)</f>
        <v>60299</v>
      </c>
      <c r="ER35" s="20"/>
      <c r="ES35" s="25">
        <f>ES31-SUM(ES33:ES34)</f>
        <v>33303</v>
      </c>
      <c r="ET35" s="406">
        <f>ET31-SUM(ET33:ET34)</f>
        <v>-1052</v>
      </c>
      <c r="EU35" s="406">
        <f t="shared" ref="EU35:EX35" si="87">EU31-SUM(EU33:EU34)</f>
        <v>32251</v>
      </c>
      <c r="EV35" s="406">
        <f t="shared" si="87"/>
        <v>-1468</v>
      </c>
      <c r="EW35" s="406">
        <f t="shared" si="87"/>
        <v>30783</v>
      </c>
      <c r="EX35" s="406">
        <f t="shared" si="87"/>
        <v>-13609</v>
      </c>
      <c r="EY35" s="21">
        <f>EY31-SUM(EY33:EY34)</f>
        <v>17174</v>
      </c>
      <c r="EZ35" s="20"/>
      <c r="FA35" s="25">
        <f>FA31-SUM(FA33:FA34)</f>
        <v>-1869</v>
      </c>
      <c r="FB35" s="406">
        <f>FB31-SUM(FB33:FB34)</f>
        <v>-10535</v>
      </c>
      <c r="FC35" s="406">
        <f t="shared" ref="FC35:FE35" si="88">FC31-SUM(FC33:FC34)</f>
        <v>-12404</v>
      </c>
      <c r="FD35" s="406">
        <f t="shared" si="88"/>
        <v>-16090</v>
      </c>
      <c r="FE35" s="21">
        <f t="shared" si="88"/>
        <v>-38586</v>
      </c>
      <c r="FF35" s="4"/>
      <c r="FG35" s="4"/>
      <c r="FH35" s="4"/>
      <c r="FI35" s="4"/>
      <c r="FJ35" s="4"/>
      <c r="FK35" s="4"/>
      <c r="FL35" s="4"/>
      <c r="FM35" s="4"/>
    </row>
    <row r="36" spans="1:169" s="14" customFormat="1" x14ac:dyDescent="0.25">
      <c r="A36" s="12"/>
      <c r="B36" s="578"/>
      <c r="C36" s="12"/>
      <c r="D36" s="25"/>
      <c r="E36" s="406"/>
      <c r="F36" s="406"/>
      <c r="G36" s="406"/>
      <c r="H36" s="406"/>
      <c r="I36" s="406"/>
      <c r="J36" s="21"/>
      <c r="K36" s="12"/>
      <c r="L36" s="25"/>
      <c r="M36" s="532"/>
      <c r="N36" s="532"/>
      <c r="O36" s="532"/>
      <c r="P36" s="532"/>
      <c r="Q36" s="532"/>
      <c r="R36" s="640"/>
      <c r="S36" s="12"/>
      <c r="T36" s="25"/>
      <c r="U36" s="532"/>
      <c r="V36" s="532"/>
      <c r="W36" s="532"/>
      <c r="X36" s="532"/>
      <c r="Y36" s="532"/>
      <c r="Z36" s="640"/>
      <c r="AA36" s="274"/>
      <c r="AB36" s="25"/>
      <c r="AC36" s="532"/>
      <c r="AD36" s="532"/>
      <c r="AE36" s="532"/>
      <c r="AF36" s="532"/>
      <c r="AG36" s="532"/>
      <c r="AH36" s="640"/>
      <c r="AI36" s="406"/>
      <c r="AJ36" s="12"/>
      <c r="AK36" s="25"/>
      <c r="AL36" s="406"/>
      <c r="AM36" s="406"/>
      <c r="AN36" s="406"/>
      <c r="AO36" s="406"/>
      <c r="AP36" s="406"/>
      <c r="AQ36" s="21"/>
      <c r="AR36" s="12"/>
      <c r="AS36" s="25"/>
      <c r="AT36" s="406"/>
      <c r="AU36" s="406"/>
      <c r="AV36" s="406"/>
      <c r="AW36" s="406"/>
      <c r="AX36" s="406"/>
      <c r="AY36" s="21"/>
      <c r="AZ36" s="406"/>
      <c r="BA36" s="25"/>
      <c r="BB36" s="406"/>
      <c r="BC36" s="406"/>
      <c r="BD36" s="406"/>
      <c r="BE36" s="406"/>
      <c r="BF36" s="406"/>
      <c r="BG36" s="21"/>
      <c r="BH36" s="12"/>
      <c r="BI36" s="25"/>
      <c r="BJ36" s="406"/>
      <c r="BK36" s="406"/>
      <c r="BL36" s="406"/>
      <c r="BM36" s="406"/>
      <c r="BN36" s="406"/>
      <c r="BO36" s="21"/>
      <c r="BP36" s="12"/>
      <c r="BQ36" s="25"/>
      <c r="BR36" s="406"/>
      <c r="BS36" s="406"/>
      <c r="BT36" s="406"/>
      <c r="BU36" s="406"/>
      <c r="BV36" s="406"/>
      <c r="BW36" s="21"/>
      <c r="BX36" s="12"/>
      <c r="BY36" s="25"/>
      <c r="BZ36" s="406"/>
      <c r="CA36" s="406"/>
      <c r="CB36" s="406"/>
      <c r="CC36" s="406"/>
      <c r="CD36" s="406"/>
      <c r="CE36" s="21"/>
      <c r="CF36" s="12"/>
      <c r="CG36" s="25"/>
      <c r="CH36" s="406"/>
      <c r="CI36" s="406"/>
      <c r="CJ36" s="406"/>
      <c r="CK36" s="406"/>
      <c r="CL36" s="406"/>
      <c r="CM36" s="21"/>
      <c r="CN36" s="20"/>
      <c r="CO36" s="25"/>
      <c r="CP36" s="406"/>
      <c r="CQ36" s="406"/>
      <c r="CR36" s="406"/>
      <c r="CS36" s="406"/>
      <c r="CT36" s="406"/>
      <c r="CU36" s="21"/>
      <c r="CV36" s="20"/>
      <c r="CW36" s="25"/>
      <c r="CX36" s="406"/>
      <c r="CY36" s="406"/>
      <c r="CZ36" s="406"/>
      <c r="DA36" s="406"/>
      <c r="DB36" s="406"/>
      <c r="DC36" s="21"/>
      <c r="DD36" s="20"/>
      <c r="DE36" s="25"/>
      <c r="DF36" s="406"/>
      <c r="DG36" s="406"/>
      <c r="DH36" s="406"/>
      <c r="DI36" s="406"/>
      <c r="DJ36" s="406"/>
      <c r="DK36" s="21"/>
      <c r="DL36" s="20"/>
      <c r="DM36" s="25"/>
      <c r="DN36" s="406"/>
      <c r="DO36" s="406"/>
      <c r="DP36" s="406"/>
      <c r="DQ36" s="406"/>
      <c r="DR36" s="406"/>
      <c r="DS36" s="21"/>
      <c r="DT36" s="20"/>
      <c r="DU36" s="25"/>
      <c r="DV36" s="406"/>
      <c r="DW36" s="406"/>
      <c r="DX36" s="406"/>
      <c r="DY36" s="406"/>
      <c r="DZ36" s="406"/>
      <c r="EA36" s="21"/>
      <c r="EB36" s="20"/>
      <c r="EC36" s="25"/>
      <c r="ED36" s="406"/>
      <c r="EE36" s="406"/>
      <c r="EF36" s="406"/>
      <c r="EG36" s="406"/>
      <c r="EH36" s="406"/>
      <c r="EI36" s="21"/>
      <c r="EJ36" s="20"/>
      <c r="EK36" s="25"/>
      <c r="EL36" s="406"/>
      <c r="EM36" s="406"/>
      <c r="EN36" s="406"/>
      <c r="EO36" s="406"/>
      <c r="EP36" s="406"/>
      <c r="EQ36" s="21"/>
      <c r="ER36" s="20"/>
      <c r="ES36" s="25"/>
      <c r="ET36" s="406"/>
      <c r="EU36" s="406"/>
      <c r="EV36" s="406"/>
      <c r="EW36" s="406"/>
      <c r="EX36" s="406"/>
      <c r="EY36" s="21"/>
      <c r="EZ36" s="20"/>
      <c r="FA36" s="25"/>
      <c r="FB36" s="406"/>
      <c r="FC36" s="406"/>
      <c r="FD36" s="406"/>
      <c r="FE36" s="21"/>
      <c r="FF36" s="4"/>
      <c r="FG36" s="4"/>
      <c r="FH36" s="4"/>
      <c r="FI36" s="4"/>
      <c r="FJ36" s="4"/>
      <c r="FK36" s="4"/>
      <c r="FL36" s="4"/>
      <c r="FM36" s="4"/>
    </row>
    <row r="37" spans="1:169" x14ac:dyDescent="0.25">
      <c r="A37" s="6"/>
      <c r="B37" s="578"/>
      <c r="C37" s="6"/>
      <c r="D37" s="25"/>
      <c r="E37" s="532"/>
      <c r="F37" s="532"/>
      <c r="G37" s="532"/>
      <c r="H37" s="532"/>
      <c r="I37" s="406"/>
      <c r="J37" s="21"/>
      <c r="K37" s="6"/>
      <c r="L37" s="25"/>
      <c r="M37" s="532"/>
      <c r="N37" s="532"/>
      <c r="O37" s="532"/>
      <c r="P37" s="532"/>
      <c r="Q37" s="406"/>
      <c r="R37" s="21"/>
      <c r="S37" s="6"/>
      <c r="T37" s="25"/>
      <c r="U37" s="406"/>
      <c r="V37" s="406"/>
      <c r="W37" s="406"/>
      <c r="X37" s="406"/>
      <c r="Y37" s="406"/>
      <c r="Z37" s="21"/>
      <c r="AA37" s="274"/>
      <c r="AB37" s="25"/>
      <c r="AC37" s="406"/>
      <c r="AD37" s="406"/>
      <c r="AE37" s="406"/>
      <c r="AF37" s="406"/>
      <c r="AG37" s="406"/>
      <c r="AH37" s="21"/>
      <c r="AI37" s="406"/>
      <c r="AJ37" s="6"/>
      <c r="AK37" s="25"/>
      <c r="AL37" s="406"/>
      <c r="AM37" s="406"/>
      <c r="AN37" s="406"/>
      <c r="AO37" s="406"/>
      <c r="AP37" s="406"/>
      <c r="AQ37" s="162"/>
      <c r="AR37" s="6"/>
      <c r="AS37" s="25"/>
      <c r="AT37" s="406"/>
      <c r="AU37" s="406"/>
      <c r="AV37" s="406"/>
      <c r="AW37" s="406"/>
      <c r="AX37" s="406"/>
      <c r="AY37" s="21"/>
      <c r="AZ37" s="406"/>
      <c r="BA37" s="25"/>
      <c r="BB37" s="406"/>
      <c r="BC37" s="406"/>
      <c r="BD37" s="406"/>
      <c r="BE37" s="406"/>
      <c r="BF37" s="406"/>
      <c r="BG37" s="21"/>
      <c r="BH37" s="6"/>
      <c r="BI37" s="25"/>
      <c r="BJ37" s="406"/>
      <c r="BK37" s="406"/>
      <c r="BL37" s="406"/>
      <c r="BM37" s="406"/>
      <c r="BN37" s="406"/>
      <c r="BO37" s="21"/>
      <c r="BP37" s="6"/>
      <c r="BQ37" s="25"/>
      <c r="BR37" s="406"/>
      <c r="BS37" s="406"/>
      <c r="BT37" s="406"/>
      <c r="BU37" s="406"/>
      <c r="BV37" s="406"/>
      <c r="BW37" s="21"/>
      <c r="BX37" s="6"/>
      <c r="BY37" s="25"/>
      <c r="BZ37" s="406"/>
      <c r="CA37" s="406"/>
      <c r="CB37" s="406"/>
      <c r="CC37" s="406"/>
      <c r="CD37" s="406"/>
      <c r="CE37" s="21"/>
      <c r="CF37" s="6"/>
      <c r="CG37" s="25"/>
      <c r="CH37" s="406"/>
      <c r="CI37" s="406"/>
      <c r="CJ37" s="406"/>
      <c r="CK37" s="406"/>
      <c r="CL37" s="406"/>
      <c r="CM37" s="21"/>
      <c r="CN37" s="20"/>
      <c r="CO37" s="25"/>
      <c r="CP37" s="406"/>
      <c r="CQ37" s="406"/>
      <c r="CR37" s="406"/>
      <c r="CS37" s="406"/>
      <c r="CT37" s="406"/>
      <c r="CU37" s="21"/>
      <c r="CV37" s="20"/>
      <c r="CW37" s="25"/>
      <c r="CX37" s="406"/>
      <c r="CY37" s="406"/>
      <c r="CZ37" s="406"/>
      <c r="DA37" s="406"/>
      <c r="DB37" s="406"/>
      <c r="DC37" s="21"/>
      <c r="DD37" s="20"/>
      <c r="DE37" s="25"/>
      <c r="DF37" s="406"/>
      <c r="DG37" s="406"/>
      <c r="DH37" s="406"/>
      <c r="DI37" s="406"/>
      <c r="DJ37" s="406"/>
      <c r="DK37" s="21"/>
      <c r="DL37" s="20"/>
      <c r="DM37" s="25"/>
      <c r="DN37" s="406"/>
      <c r="DO37" s="406"/>
      <c r="DP37" s="406"/>
      <c r="DQ37" s="406"/>
      <c r="DR37" s="406"/>
      <c r="DS37" s="21"/>
      <c r="DT37" s="20"/>
      <c r="DU37" s="25"/>
      <c r="DV37" s="406"/>
      <c r="DW37" s="406"/>
      <c r="DX37" s="406"/>
      <c r="DY37" s="406"/>
      <c r="DZ37" s="406"/>
      <c r="EA37" s="21"/>
      <c r="EB37" s="20"/>
      <c r="EC37" s="25"/>
      <c r="ED37" s="406"/>
      <c r="EE37" s="406"/>
      <c r="EF37" s="406"/>
      <c r="EG37" s="406"/>
      <c r="EH37" s="406"/>
      <c r="EI37" s="21"/>
      <c r="EJ37" s="20"/>
      <c r="EK37" s="25"/>
      <c r="EL37" s="406"/>
      <c r="EM37" s="406"/>
      <c r="EN37" s="406"/>
      <c r="EO37" s="406"/>
      <c r="EP37" s="406"/>
      <c r="EQ37" s="21"/>
      <c r="ER37" s="20"/>
      <c r="ES37" s="25"/>
      <c r="ET37" s="406"/>
      <c r="EU37" s="406"/>
      <c r="EV37" s="406"/>
      <c r="EW37" s="406"/>
      <c r="EX37" s="406"/>
      <c r="EY37" s="21"/>
      <c r="EZ37" s="20"/>
      <c r="FA37" s="25"/>
      <c r="FB37" s="406"/>
      <c r="FC37" s="406"/>
      <c r="FD37" s="406"/>
      <c r="FE37" s="21"/>
    </row>
    <row r="38" spans="1:169" x14ac:dyDescent="0.25">
      <c r="A38" s="6"/>
      <c r="B38" s="578"/>
      <c r="C38" s="6"/>
      <c r="D38" s="25"/>
      <c r="E38" s="532"/>
      <c r="F38" s="532"/>
      <c r="G38" s="532"/>
      <c r="H38" s="532"/>
      <c r="I38" s="406"/>
      <c r="J38" s="21"/>
      <c r="K38" s="6"/>
      <c r="L38" s="25"/>
      <c r="M38" s="532"/>
      <c r="N38" s="532"/>
      <c r="O38" s="532"/>
      <c r="P38" s="532"/>
      <c r="Q38" s="406"/>
      <c r="R38" s="21"/>
      <c r="S38" s="6"/>
      <c r="T38" s="25"/>
      <c r="U38" s="406"/>
      <c r="V38" s="406"/>
      <c r="W38" s="406"/>
      <c r="X38" s="406"/>
      <c r="Y38" s="406"/>
      <c r="Z38" s="21"/>
      <c r="AA38" s="274"/>
      <c r="AB38" s="25"/>
      <c r="AC38" s="406"/>
      <c r="AD38" s="406"/>
      <c r="AE38" s="406"/>
      <c r="AF38" s="406"/>
      <c r="AG38" s="406"/>
      <c r="AH38" s="21"/>
      <c r="AI38" s="406"/>
      <c r="AJ38" s="6"/>
      <c r="AK38" s="25"/>
      <c r="AL38" s="406"/>
      <c r="AM38" s="406"/>
      <c r="AN38" s="406"/>
      <c r="AO38" s="406"/>
      <c r="AP38" s="406"/>
      <c r="AQ38" s="21"/>
      <c r="AR38" s="6"/>
      <c r="AS38" s="25"/>
      <c r="AT38" s="406"/>
      <c r="AU38" s="406"/>
      <c r="AV38" s="406"/>
      <c r="AW38" s="406"/>
      <c r="AX38" s="406"/>
      <c r="AY38" s="21"/>
      <c r="AZ38" s="406"/>
      <c r="BA38" s="25"/>
      <c r="BB38" s="406"/>
      <c r="BC38" s="406"/>
      <c r="BD38" s="406"/>
      <c r="BE38" s="406"/>
      <c r="BF38" s="406"/>
      <c r="BG38" s="21"/>
      <c r="BH38" s="6"/>
      <c r="BI38" s="25"/>
      <c r="BJ38" s="406"/>
      <c r="BK38" s="406"/>
      <c r="BL38" s="406"/>
      <c r="BM38" s="406"/>
      <c r="BN38" s="406"/>
      <c r="BO38" s="21"/>
      <c r="BP38" s="6"/>
      <c r="BQ38" s="25"/>
      <c r="BR38" s="406"/>
      <c r="BS38" s="406"/>
      <c r="BT38" s="406"/>
      <c r="BU38" s="406"/>
      <c r="BV38" s="406"/>
      <c r="BW38" s="21"/>
      <c r="BX38" s="6"/>
      <c r="BY38" s="25"/>
      <c r="BZ38" s="406"/>
      <c r="CA38" s="406"/>
      <c r="CB38" s="406"/>
      <c r="CC38" s="406"/>
      <c r="CD38" s="406"/>
      <c r="CE38" s="21"/>
      <c r="CF38" s="6"/>
      <c r="CG38" s="25"/>
      <c r="CH38" s="406"/>
      <c r="CI38" s="406"/>
      <c r="CJ38" s="406"/>
      <c r="CK38" s="406"/>
      <c r="CL38" s="406"/>
      <c r="CM38" s="21"/>
      <c r="CN38" s="20"/>
      <c r="CO38" s="25"/>
      <c r="CP38" s="406"/>
      <c r="CQ38" s="406"/>
      <c r="CR38" s="406"/>
      <c r="CS38" s="406"/>
      <c r="CT38" s="406"/>
      <c r="CU38" s="21"/>
      <c r="CV38" s="20"/>
      <c r="CW38" s="25"/>
      <c r="CX38" s="406"/>
      <c r="CY38" s="406"/>
      <c r="CZ38" s="406"/>
      <c r="DA38" s="406"/>
      <c r="DB38" s="406"/>
      <c r="DC38" s="21"/>
      <c r="DD38" s="20"/>
      <c r="DE38" s="25"/>
      <c r="DF38" s="406"/>
      <c r="DG38" s="406"/>
      <c r="DH38" s="406"/>
      <c r="DI38" s="406"/>
      <c r="DJ38" s="406"/>
      <c r="DK38" s="21"/>
      <c r="DL38" s="20"/>
      <c r="DM38" s="25"/>
      <c r="DN38" s="406"/>
      <c r="DO38" s="406"/>
      <c r="DP38" s="406"/>
      <c r="DQ38" s="406"/>
      <c r="DR38" s="406"/>
      <c r="DS38" s="21"/>
      <c r="DT38" s="20"/>
      <c r="DU38" s="25"/>
      <c r="DV38" s="406"/>
      <c r="DW38" s="406"/>
      <c r="DX38" s="406"/>
      <c r="DY38" s="406"/>
      <c r="DZ38" s="406"/>
      <c r="EA38" s="21"/>
      <c r="EB38" s="20"/>
      <c r="EC38" s="25"/>
      <c r="ED38" s="406"/>
      <c r="EE38" s="406"/>
      <c r="EF38" s="406"/>
      <c r="EG38" s="406"/>
      <c r="EH38" s="406"/>
      <c r="EI38" s="21"/>
      <c r="EJ38" s="20"/>
      <c r="EK38" s="25"/>
      <c r="EL38" s="406"/>
      <c r="EM38" s="406"/>
      <c r="EN38" s="406"/>
      <c r="EO38" s="406"/>
      <c r="EP38" s="406"/>
      <c r="EQ38" s="21"/>
      <c r="ER38" s="20"/>
      <c r="ES38" s="25"/>
      <c r="ET38" s="406"/>
      <c r="EU38" s="406"/>
      <c r="EV38" s="406"/>
      <c r="EW38" s="406"/>
      <c r="EX38" s="406"/>
      <c r="EY38" s="21"/>
      <c r="EZ38" s="20"/>
      <c r="FA38" s="25"/>
      <c r="FB38" s="406"/>
      <c r="FC38" s="406"/>
      <c r="FD38" s="406"/>
      <c r="FE38" s="21"/>
    </row>
    <row r="39" spans="1:169" s="14" customFormat="1" x14ac:dyDescent="0.25">
      <c r="A39" s="12" t="s">
        <v>25</v>
      </c>
      <c r="B39" s="732">
        <v>148174.56222967434</v>
      </c>
      <c r="C39" s="12"/>
      <c r="D39" s="572">
        <v>103760</v>
      </c>
      <c r="E39" s="532"/>
      <c r="F39" s="532">
        <v>19644</v>
      </c>
      <c r="G39" s="532"/>
      <c r="H39" s="532">
        <v>8144</v>
      </c>
      <c r="I39" s="406"/>
      <c r="J39" s="640">
        <v>160666</v>
      </c>
      <c r="K39" s="12"/>
      <c r="L39" s="572">
        <v>8170</v>
      </c>
      <c r="M39" s="532"/>
      <c r="N39" s="532">
        <v>5155</v>
      </c>
      <c r="O39" s="532"/>
      <c r="P39" s="532">
        <v>15827</v>
      </c>
      <c r="Q39" s="406"/>
      <c r="R39" s="640">
        <v>20902</v>
      </c>
      <c r="S39" s="12"/>
      <c r="T39" s="572">
        <f>8398</f>
        <v>8398</v>
      </c>
      <c r="U39" s="406"/>
      <c r="V39" s="406">
        <v>19845</v>
      </c>
      <c r="W39" s="406"/>
      <c r="X39" s="406">
        <v>18881</v>
      </c>
      <c r="Y39" s="406"/>
      <c r="Z39" s="21">
        <f>3816981-3412656</f>
        <v>404325</v>
      </c>
      <c r="AA39" s="274"/>
      <c r="AB39" s="25">
        <v>152492</v>
      </c>
      <c r="AC39" s="406">
        <v>150587</v>
      </c>
      <c r="AD39" s="406"/>
      <c r="AE39" s="406"/>
      <c r="AF39" s="406">
        <v>21044</v>
      </c>
      <c r="AG39" s="406"/>
      <c r="AH39" s="21">
        <v>26656</v>
      </c>
      <c r="AI39" s="406"/>
      <c r="AJ39" s="12"/>
      <c r="AK39" s="25">
        <v>665030</v>
      </c>
      <c r="AL39" s="406">
        <v>54968</v>
      </c>
      <c r="AM39" s="406"/>
      <c r="AN39" s="406">
        <v>17839</v>
      </c>
      <c r="AO39" s="406"/>
      <c r="AP39" s="406">
        <v>203057</v>
      </c>
      <c r="AQ39" s="21"/>
      <c r="AR39" s="12"/>
      <c r="AS39" s="25">
        <v>246902</v>
      </c>
      <c r="AT39" s="406">
        <v>131632</v>
      </c>
      <c r="AU39" s="406"/>
      <c r="AV39" s="406">
        <v>127357</v>
      </c>
      <c r="AW39" s="406"/>
      <c r="AX39" s="406">
        <v>8239</v>
      </c>
      <c r="AY39" s="21"/>
      <c r="AZ39" s="406"/>
      <c r="BA39" s="25">
        <v>51776</v>
      </c>
      <c r="BB39" s="406">
        <v>504063</v>
      </c>
      <c r="BC39" s="406"/>
      <c r="BD39" s="406">
        <v>250534</v>
      </c>
      <c r="BE39" s="406"/>
      <c r="BF39" s="406">
        <v>65294</v>
      </c>
      <c r="BG39" s="21"/>
      <c r="BH39" s="12"/>
      <c r="BI39" s="25">
        <v>5652</v>
      </c>
      <c r="BJ39" s="406">
        <v>5785</v>
      </c>
      <c r="BK39" s="406"/>
      <c r="BL39" s="406">
        <v>4534</v>
      </c>
      <c r="BM39" s="406"/>
      <c r="BN39" s="406">
        <v>8595</v>
      </c>
      <c r="BO39" s="21"/>
      <c r="BP39" s="12"/>
      <c r="BQ39" s="25">
        <v>92582</v>
      </c>
      <c r="BR39" s="406">
        <v>11038</v>
      </c>
      <c r="BS39" s="406"/>
      <c r="BT39" s="406">
        <v>11847</v>
      </c>
      <c r="BU39" s="406"/>
      <c r="BV39" s="406">
        <v>8476</v>
      </c>
      <c r="BW39" s="21"/>
      <c r="BX39" s="12"/>
      <c r="BY39" s="25">
        <v>257062</v>
      </c>
      <c r="BZ39" s="406">
        <v>219211</v>
      </c>
      <c r="CA39" s="406"/>
      <c r="CB39" s="406">
        <v>207119</v>
      </c>
      <c r="CC39" s="406"/>
      <c r="CD39" s="406">
        <v>154619</v>
      </c>
      <c r="CE39" s="21"/>
      <c r="CF39" s="12"/>
      <c r="CG39" s="25">
        <v>247765</v>
      </c>
      <c r="CH39" s="406">
        <v>261135</v>
      </c>
      <c r="CI39" s="406"/>
      <c r="CJ39" s="406">
        <v>390229</v>
      </c>
      <c r="CK39" s="406"/>
      <c r="CL39" s="406">
        <v>327006</v>
      </c>
      <c r="CM39" s="21"/>
      <c r="CN39" s="20"/>
      <c r="CO39" s="25">
        <v>89473</v>
      </c>
      <c r="CP39" s="406">
        <v>123308</v>
      </c>
      <c r="CQ39" s="406"/>
      <c r="CR39" s="406">
        <v>259400</v>
      </c>
      <c r="CS39" s="406"/>
      <c r="CT39" s="406">
        <v>262248</v>
      </c>
      <c r="CU39" s="21"/>
      <c r="CV39" s="20"/>
      <c r="CW39" s="25">
        <v>32259</v>
      </c>
      <c r="CX39" s="406">
        <v>33581</v>
      </c>
      <c r="CY39" s="406"/>
      <c r="CZ39" s="406">
        <v>161094</v>
      </c>
      <c r="DA39" s="406"/>
      <c r="DB39" s="406">
        <v>115581</v>
      </c>
      <c r="DC39" s="21"/>
      <c r="DD39" s="20"/>
      <c r="DE39" s="25">
        <v>36936</v>
      </c>
      <c r="DF39" s="406">
        <v>33192</v>
      </c>
      <c r="DG39" s="406"/>
      <c r="DH39" s="406">
        <v>37199</v>
      </c>
      <c r="DI39" s="406"/>
      <c r="DJ39" s="406">
        <v>30125</v>
      </c>
      <c r="DK39" s="21"/>
      <c r="DL39" s="20"/>
      <c r="DM39" s="25">
        <v>57960</v>
      </c>
      <c r="DN39" s="406">
        <v>55628</v>
      </c>
      <c r="DO39" s="406"/>
      <c r="DP39" s="406">
        <v>47549</v>
      </c>
      <c r="DQ39" s="406"/>
      <c r="DR39" s="406">
        <v>160821</v>
      </c>
      <c r="DS39" s="21"/>
      <c r="DT39" s="20"/>
      <c r="DU39" s="25">
        <v>68722</v>
      </c>
      <c r="DV39" s="406">
        <v>64325</v>
      </c>
      <c r="DW39" s="406"/>
      <c r="DX39" s="406">
        <v>64439</v>
      </c>
      <c r="DY39" s="406"/>
      <c r="DZ39" s="406">
        <v>55344</v>
      </c>
      <c r="EA39" s="21"/>
      <c r="EB39" s="20"/>
      <c r="EC39" s="25">
        <v>97584</v>
      </c>
      <c r="ED39" s="406">
        <v>112721</v>
      </c>
      <c r="EE39" s="406"/>
      <c r="EF39" s="406">
        <v>98753</v>
      </c>
      <c r="EG39" s="406"/>
      <c r="EH39" s="406">
        <v>81932</v>
      </c>
      <c r="EI39" s="21"/>
      <c r="EJ39" s="20"/>
      <c r="EK39" s="25">
        <v>121722</v>
      </c>
      <c r="EL39" s="406">
        <v>192667</v>
      </c>
      <c r="EM39" s="406"/>
      <c r="EN39" s="406">
        <v>175926</v>
      </c>
      <c r="EO39" s="406"/>
      <c r="EP39" s="406">
        <v>184621</v>
      </c>
      <c r="EQ39" s="21"/>
      <c r="ER39" s="20"/>
      <c r="ES39" s="25">
        <v>120259</v>
      </c>
      <c r="ET39" s="406">
        <v>186583</v>
      </c>
      <c r="EU39" s="406"/>
      <c r="EV39" s="406">
        <v>113046</v>
      </c>
      <c r="EW39" s="406"/>
      <c r="EX39" s="406">
        <v>228380</v>
      </c>
      <c r="EY39" s="21"/>
      <c r="EZ39" s="20"/>
      <c r="FA39" s="25">
        <v>118093</v>
      </c>
      <c r="FB39" s="406">
        <v>128761</v>
      </c>
      <c r="FC39" s="406"/>
      <c r="FD39" s="406">
        <v>128614</v>
      </c>
      <c r="FE39" s="21"/>
      <c r="FF39" s="4"/>
      <c r="FG39" s="4"/>
      <c r="FH39" s="4"/>
      <c r="FI39" s="4"/>
      <c r="FJ39" s="4"/>
      <c r="FK39" s="4"/>
      <c r="FL39" s="4"/>
      <c r="FM39" s="4"/>
    </row>
    <row r="40" spans="1:169" s="14" customFormat="1" x14ac:dyDescent="0.25">
      <c r="A40" s="12"/>
      <c r="B40" s="730"/>
      <c r="C40" s="12"/>
      <c r="D40" s="572"/>
      <c r="E40" s="532"/>
      <c r="F40" s="532"/>
      <c r="G40" s="532"/>
      <c r="H40" s="532"/>
      <c r="I40" s="406"/>
      <c r="J40" s="640"/>
      <c r="K40" s="12"/>
      <c r="L40" s="572"/>
      <c r="M40" s="532"/>
      <c r="N40" s="532"/>
      <c r="O40" s="532"/>
      <c r="P40" s="532"/>
      <c r="Q40" s="406"/>
      <c r="R40" s="640"/>
      <c r="S40" s="12"/>
      <c r="T40" s="572"/>
      <c r="U40" s="406"/>
      <c r="V40" s="406"/>
      <c r="W40" s="406"/>
      <c r="X40" s="406"/>
      <c r="Y40" s="406"/>
      <c r="Z40" s="21"/>
      <c r="AA40" s="274"/>
      <c r="AB40" s="25"/>
      <c r="AC40" s="406"/>
      <c r="AD40" s="406"/>
      <c r="AE40" s="406"/>
      <c r="AF40" s="406"/>
      <c r="AG40" s="406"/>
      <c r="AH40" s="21"/>
      <c r="AI40" s="406"/>
      <c r="AJ40" s="12"/>
      <c r="AK40" s="25"/>
      <c r="AL40" s="406"/>
      <c r="AM40" s="406"/>
      <c r="AN40" s="406"/>
      <c r="AO40" s="406"/>
      <c r="AP40" s="406"/>
      <c r="AQ40" s="21"/>
      <c r="AR40" s="12"/>
      <c r="AS40" s="25"/>
      <c r="AT40" s="406"/>
      <c r="AU40" s="406"/>
      <c r="AV40" s="406"/>
      <c r="AW40" s="406"/>
      <c r="AX40" s="406"/>
      <c r="AY40" s="21"/>
      <c r="AZ40" s="406"/>
      <c r="BA40" s="25"/>
      <c r="BB40" s="406"/>
      <c r="BC40" s="406"/>
      <c r="BD40" s="406"/>
      <c r="BE40" s="406"/>
      <c r="BF40" s="406"/>
      <c r="BG40" s="21"/>
      <c r="BH40" s="12"/>
      <c r="BI40" s="25"/>
      <c r="BJ40" s="406"/>
      <c r="BK40" s="406"/>
      <c r="BL40" s="406"/>
      <c r="BM40" s="406"/>
      <c r="BN40" s="406"/>
      <c r="BO40" s="21"/>
      <c r="BP40" s="12"/>
      <c r="BQ40" s="25"/>
      <c r="BR40" s="406"/>
      <c r="BS40" s="406"/>
      <c r="BT40" s="406"/>
      <c r="BU40" s="406"/>
      <c r="BV40" s="406"/>
      <c r="BW40" s="21"/>
      <c r="BX40" s="12"/>
      <c r="BY40" s="25"/>
      <c r="BZ40" s="406"/>
      <c r="CA40" s="406"/>
      <c r="CB40" s="406"/>
      <c r="CC40" s="406"/>
      <c r="CD40" s="406"/>
      <c r="CE40" s="21"/>
      <c r="CF40" s="12"/>
      <c r="CG40" s="25"/>
      <c r="CH40" s="406"/>
      <c r="CI40" s="406"/>
      <c r="CJ40" s="406"/>
      <c r="CK40" s="406"/>
      <c r="CL40" s="406"/>
      <c r="CM40" s="21"/>
      <c r="CN40" s="20"/>
      <c r="CO40" s="25"/>
      <c r="CP40" s="406"/>
      <c r="CQ40" s="406"/>
      <c r="CR40" s="406"/>
      <c r="CS40" s="406"/>
      <c r="CT40" s="406"/>
      <c r="CU40" s="21"/>
      <c r="CV40" s="20"/>
      <c r="CW40" s="25"/>
      <c r="CX40" s="406"/>
      <c r="CY40" s="406"/>
      <c r="CZ40" s="406"/>
      <c r="DA40" s="406"/>
      <c r="DB40" s="406"/>
      <c r="DC40" s="21"/>
      <c r="DD40" s="20"/>
      <c r="DE40" s="25"/>
      <c r="DF40" s="406"/>
      <c r="DG40" s="406"/>
      <c r="DH40" s="406"/>
      <c r="DI40" s="406"/>
      <c r="DJ40" s="406"/>
      <c r="DK40" s="21"/>
      <c r="DL40" s="20"/>
      <c r="DM40" s="25"/>
      <c r="DN40" s="406"/>
      <c r="DO40" s="406"/>
      <c r="DP40" s="406"/>
      <c r="DQ40" s="406"/>
      <c r="DR40" s="406"/>
      <c r="DS40" s="21"/>
      <c r="DT40" s="20"/>
      <c r="DU40" s="25"/>
      <c r="DV40" s="406"/>
      <c r="DW40" s="406"/>
      <c r="DX40" s="406"/>
      <c r="DY40" s="406"/>
      <c r="DZ40" s="406"/>
      <c r="EA40" s="21"/>
      <c r="EB40" s="20"/>
      <c r="EC40" s="25"/>
      <c r="ED40" s="406"/>
      <c r="EE40" s="406"/>
      <c r="EF40" s="406"/>
      <c r="EG40" s="406"/>
      <c r="EH40" s="406"/>
      <c r="EI40" s="21"/>
      <c r="EJ40" s="20"/>
      <c r="EK40" s="25"/>
      <c r="EL40" s="406"/>
      <c r="EM40" s="406"/>
      <c r="EN40" s="406"/>
      <c r="EO40" s="406"/>
      <c r="EP40" s="406"/>
      <c r="EQ40" s="21"/>
      <c r="ER40" s="20"/>
      <c r="ES40" s="25"/>
      <c r="ET40" s="406"/>
      <c r="EU40" s="406"/>
      <c r="EV40" s="406"/>
      <c r="EW40" s="406"/>
      <c r="EX40" s="406"/>
      <c r="EY40" s="21"/>
      <c r="EZ40" s="20"/>
      <c r="FA40" s="25"/>
      <c r="FB40" s="406"/>
      <c r="FC40" s="406"/>
      <c r="FD40" s="406"/>
      <c r="FE40" s="21"/>
      <c r="FF40" s="4"/>
      <c r="FG40" s="4"/>
      <c r="FH40" s="4"/>
      <c r="FI40" s="4"/>
      <c r="FJ40" s="4"/>
      <c r="FK40" s="4"/>
      <c r="FL40" s="4"/>
      <c r="FM40" s="4"/>
    </row>
    <row r="41" spans="1:169" s="298" customFormat="1" x14ac:dyDescent="0.25">
      <c r="A41" s="89" t="s">
        <v>26</v>
      </c>
      <c r="B41" s="731">
        <f>('[1]BS - DATA'!$N$45+'[1]BS - DATA'!$N$51+'[1]BS - DATA'!$N$67)/1000</f>
        <v>-793060.29960000003</v>
      </c>
      <c r="C41" s="89"/>
      <c r="D41" s="637">
        <f>('[2]BS - DATA'!$N$44+'[2]BS - DATA'!$N$49+'[2]BS - DATA'!$N$65)/1000</f>
        <v>-1622282.5415999999</v>
      </c>
      <c r="E41" s="614"/>
      <c r="F41" s="614">
        <f>('[3]BS - DATA'!$N$44+'[3]BS - DATA'!$N$50+'[3]BS - DATA'!$N$66)/1000</f>
        <v>-1657442.1905999999</v>
      </c>
      <c r="G41" s="614"/>
      <c r="H41" s="614">
        <f>('[4]BS - DATA'!$N$46+'[4]BS - DATA'!$N$52+'[4]BS - DATA'!$N$68)/1000</f>
        <v>-1638759.5005999999</v>
      </c>
      <c r="I41" s="614"/>
      <c r="J41" s="618">
        <f>('[5]BS - DATA'!$N$67+'[5]BS - DATA'!$N$45+'[5]BS - DATA'!$N$51)/1000</f>
        <v>-854410.19660000002</v>
      </c>
      <c r="K41" s="89"/>
      <c r="L41" s="573">
        <v>-1513921</v>
      </c>
      <c r="M41" s="614"/>
      <c r="N41" s="614">
        <v>-1494351</v>
      </c>
      <c r="O41" s="614"/>
      <c r="P41" s="614">
        <v>-1534049</v>
      </c>
      <c r="Q41" s="549"/>
      <c r="R41" s="618">
        <v>-1590003</v>
      </c>
      <c r="S41" s="89"/>
      <c r="T41" s="573">
        <v>-1355194</v>
      </c>
      <c r="U41" s="549"/>
      <c r="V41" s="549">
        <v>-1357555</v>
      </c>
      <c r="W41" s="549"/>
      <c r="X41" s="549">
        <v>-1351129</v>
      </c>
      <c r="Y41" s="549"/>
      <c r="Z41" s="544">
        <v>-1370178</v>
      </c>
      <c r="AA41" s="274"/>
      <c r="AB41" s="550">
        <v>-1159127</v>
      </c>
      <c r="AC41" s="549">
        <v>-1161078</v>
      </c>
      <c r="AD41" s="549"/>
      <c r="AE41" s="549"/>
      <c r="AF41" s="549">
        <v>-1434234</v>
      </c>
      <c r="AG41" s="549"/>
      <c r="AH41" s="544">
        <v>-1424106</v>
      </c>
      <c r="AI41" s="406"/>
      <c r="AJ41" s="89"/>
      <c r="AK41" s="25">
        <v>-926424</v>
      </c>
      <c r="AL41" s="406">
        <v>-883077</v>
      </c>
      <c r="AM41" s="406"/>
      <c r="AN41" s="406">
        <v>-1038263</v>
      </c>
      <c r="AO41" s="406"/>
      <c r="AP41" s="406">
        <v>-1048576</v>
      </c>
      <c r="AQ41" s="21"/>
      <c r="AR41" s="89"/>
      <c r="AS41" s="25">
        <v>-838819</v>
      </c>
      <c r="AT41" s="406">
        <v>-845789</v>
      </c>
      <c r="AU41" s="406"/>
      <c r="AV41" s="406">
        <v>-831187</v>
      </c>
      <c r="AW41" s="406"/>
      <c r="AX41" s="406">
        <v>-964135</v>
      </c>
      <c r="AY41" s="21"/>
      <c r="AZ41" s="406"/>
      <c r="BA41" s="25">
        <v>-1163318</v>
      </c>
      <c r="BB41" s="406">
        <v>-910470</v>
      </c>
      <c r="BC41" s="799"/>
      <c r="BD41" s="406">
        <v>-901835</v>
      </c>
      <c r="BE41" s="406"/>
      <c r="BF41" s="406">
        <v>-853578</v>
      </c>
      <c r="BG41" s="21"/>
      <c r="BH41" s="89"/>
      <c r="BI41" s="25">
        <v>-1187629</v>
      </c>
      <c r="BJ41" s="406">
        <v>-1195676</v>
      </c>
      <c r="BK41" s="799"/>
      <c r="BL41" s="406">
        <v>-1259325</v>
      </c>
      <c r="BM41" s="406"/>
      <c r="BN41" s="406">
        <v>-1205380</v>
      </c>
      <c r="BO41" s="21"/>
      <c r="BP41" s="89"/>
      <c r="BQ41" s="25">
        <v>-789957</v>
      </c>
      <c r="BR41" s="406">
        <v>-864159</v>
      </c>
      <c r="BS41" s="799"/>
      <c r="BT41" s="406">
        <v>-866806</v>
      </c>
      <c r="BU41" s="406"/>
      <c r="BV41" s="406">
        <v>-856129</v>
      </c>
      <c r="BW41" s="21"/>
      <c r="BX41" s="89"/>
      <c r="BY41" s="25">
        <v>-509480</v>
      </c>
      <c r="BZ41" s="406">
        <v>-662197</v>
      </c>
      <c r="CA41" s="799"/>
      <c r="CB41" s="406">
        <v>-812322</v>
      </c>
      <c r="CC41" s="406"/>
      <c r="CD41" s="406">
        <v>-786775</v>
      </c>
      <c r="CE41" s="21"/>
      <c r="CF41" s="89"/>
      <c r="CG41" s="25">
        <v>-594926</v>
      </c>
      <c r="CH41" s="406">
        <v>-571028</v>
      </c>
      <c r="CI41" s="799"/>
      <c r="CJ41" s="406">
        <v>-458575</v>
      </c>
      <c r="CK41" s="406"/>
      <c r="CL41" s="406">
        <v>-451925</v>
      </c>
      <c r="CM41" s="21"/>
      <c r="CN41" s="20"/>
      <c r="CO41" s="25">
        <v>-407778</v>
      </c>
      <c r="CP41" s="406">
        <v>-395289</v>
      </c>
      <c r="CQ41" s="799"/>
      <c r="CR41" s="406">
        <v>-505509</v>
      </c>
      <c r="CS41" s="406"/>
      <c r="CT41" s="406">
        <v>-600358</v>
      </c>
      <c r="CU41" s="21"/>
      <c r="CV41" s="20"/>
      <c r="CW41" s="25">
        <v>-484841</v>
      </c>
      <c r="CX41" s="406">
        <v>-482657</v>
      </c>
      <c r="CY41" s="799"/>
      <c r="CZ41" s="406">
        <v>-402630</v>
      </c>
      <c r="DA41" s="406"/>
      <c r="DB41" s="406">
        <v>-404204</v>
      </c>
      <c r="DC41" s="21"/>
      <c r="DD41" s="20"/>
      <c r="DE41" s="25">
        <v>-465302</v>
      </c>
      <c r="DF41" s="406">
        <v>-487582</v>
      </c>
      <c r="DG41" s="799"/>
      <c r="DH41" s="406">
        <v>-465695</v>
      </c>
      <c r="DI41" s="406"/>
      <c r="DJ41" s="406">
        <v>-487744</v>
      </c>
      <c r="DK41" s="21"/>
      <c r="DL41" s="20"/>
      <c r="DM41" s="25">
        <v>-324143</v>
      </c>
      <c r="DN41" s="406">
        <v>-318444</v>
      </c>
      <c r="DO41" s="799"/>
      <c r="DP41" s="406">
        <v>-451681</v>
      </c>
      <c r="DQ41" s="406"/>
      <c r="DR41" s="406">
        <v>-377851</v>
      </c>
      <c r="DS41" s="21"/>
      <c r="DT41" s="20"/>
      <c r="DU41" s="25">
        <v>-347380</v>
      </c>
      <c r="DV41" s="406">
        <v>-354973</v>
      </c>
      <c r="DW41" s="799"/>
      <c r="DX41" s="406">
        <v>-385945</v>
      </c>
      <c r="DY41" s="406"/>
      <c r="DZ41" s="406">
        <v>-359687</v>
      </c>
      <c r="EA41" s="21"/>
      <c r="EB41" s="20"/>
      <c r="EC41" s="25">
        <v>-335446</v>
      </c>
      <c r="ED41" s="406">
        <v>-313715</v>
      </c>
      <c r="EE41" s="799"/>
      <c r="EF41" s="406">
        <v>-308446</v>
      </c>
      <c r="EG41" s="406"/>
      <c r="EH41" s="406">
        <v>-306461</v>
      </c>
      <c r="EI41" s="21"/>
      <c r="EJ41" s="20"/>
      <c r="EK41" s="25">
        <v>-430577</v>
      </c>
      <c r="EL41" s="406">
        <v>-401274</v>
      </c>
      <c r="EM41" s="799"/>
      <c r="EN41" s="406">
        <v>-385274</v>
      </c>
      <c r="EO41" s="406"/>
      <c r="EP41" s="406">
        <v>-364251</v>
      </c>
      <c r="EQ41" s="21"/>
      <c r="ER41" s="20"/>
      <c r="ES41" s="25">
        <v>-206054</v>
      </c>
      <c r="ET41" s="406">
        <v>-210991</v>
      </c>
      <c r="EU41" s="799"/>
      <c r="EV41" s="406">
        <v>-273881</v>
      </c>
      <c r="EW41" s="406"/>
      <c r="EX41" s="406">
        <v>-298183</v>
      </c>
      <c r="EY41" s="21"/>
      <c r="EZ41" s="20"/>
      <c r="FA41" s="294">
        <v>-167622</v>
      </c>
      <c r="FB41" s="406">
        <v>-179198</v>
      </c>
      <c r="FC41" s="406"/>
      <c r="FD41" s="406">
        <v>-183371</v>
      </c>
      <c r="FE41" s="21"/>
    </row>
    <row r="42" spans="1:169" s="298" customFormat="1" x14ac:dyDescent="0.25">
      <c r="A42" s="293" t="s">
        <v>254</v>
      </c>
      <c r="B42" s="731">
        <v>1860248.49483</v>
      </c>
      <c r="C42" s="293"/>
      <c r="D42" s="637">
        <v>1860064.0025113919</v>
      </c>
      <c r="E42" s="614"/>
      <c r="F42" s="614">
        <v>1857036</v>
      </c>
      <c r="G42" s="614"/>
      <c r="H42" s="614">
        <f>('[4]BS - DATA'!$O$45+'[4]BS - DATA'!$O$47+'[4]BS - DATA'!$O$66)/1000</f>
        <v>1878852.4248299999</v>
      </c>
      <c r="I42" s="614"/>
      <c r="J42" s="618">
        <f>('[5]BS - DATA'!$O$44+'[5]BS - DATA'!$O$65)/1000</f>
        <v>1877316.50183</v>
      </c>
      <c r="K42" s="293"/>
      <c r="L42" s="573">
        <v>1715982</v>
      </c>
      <c r="M42" s="614"/>
      <c r="N42" s="614">
        <v>1722084</v>
      </c>
      <c r="O42" s="614"/>
      <c r="P42" s="614">
        <v>1776187</v>
      </c>
      <c r="Q42" s="549"/>
      <c r="R42" s="618">
        <v>1774290</v>
      </c>
      <c r="S42" s="293"/>
      <c r="T42" s="573">
        <v>1685570</v>
      </c>
      <c r="U42" s="549"/>
      <c r="V42" s="549">
        <v>1767673</v>
      </c>
      <c r="W42" s="549"/>
      <c r="X42" s="549">
        <v>1775776</v>
      </c>
      <c r="Y42" s="549"/>
      <c r="Z42" s="544">
        <f>10000+1661879</f>
        <v>1671879</v>
      </c>
      <c r="AA42" s="274"/>
      <c r="AB42" s="550">
        <v>1300000</v>
      </c>
      <c r="AC42" s="549">
        <v>1285747</v>
      </c>
      <c r="AD42" s="549"/>
      <c r="AE42" s="549"/>
      <c r="AF42" s="549">
        <v>1810500</v>
      </c>
      <c r="AG42" s="549"/>
      <c r="AH42" s="544">
        <v>1824468</v>
      </c>
      <c r="AI42" s="406"/>
      <c r="AJ42" s="293"/>
      <c r="AK42" s="25">
        <v>1605000</v>
      </c>
      <c r="AL42" s="406">
        <v>1000000</v>
      </c>
      <c r="AM42" s="406"/>
      <c r="AN42" s="406">
        <v>1134000</v>
      </c>
      <c r="AO42" s="406"/>
      <c r="AP42" s="406">
        <v>1300000</v>
      </c>
      <c r="AQ42" s="21"/>
      <c r="AR42" s="293"/>
      <c r="AS42" s="25">
        <v>600000</v>
      </c>
      <c r="AT42" s="406">
        <v>600000</v>
      </c>
      <c r="AU42" s="406"/>
      <c r="AV42" s="406">
        <v>600000</v>
      </c>
      <c r="AW42" s="406"/>
      <c r="AX42" s="406">
        <v>907000</v>
      </c>
      <c r="AY42" s="21"/>
      <c r="AZ42" s="406"/>
      <c r="BA42" s="25">
        <v>976321</v>
      </c>
      <c r="BB42" s="406">
        <v>890223</v>
      </c>
      <c r="BC42" s="293"/>
      <c r="BD42" s="406">
        <v>696700</v>
      </c>
      <c r="BE42" s="406"/>
      <c r="BF42" s="406">
        <v>400000</v>
      </c>
      <c r="BG42" s="21"/>
      <c r="BH42" s="293"/>
      <c r="BI42" s="25">
        <v>945823</v>
      </c>
      <c r="BJ42" s="406">
        <v>986614</v>
      </c>
      <c r="BK42" s="293"/>
      <c r="BL42" s="406">
        <v>1126517</v>
      </c>
      <c r="BM42" s="406"/>
      <c r="BN42" s="406">
        <v>1120419</v>
      </c>
      <c r="BO42" s="21"/>
      <c r="BP42" s="293"/>
      <c r="BQ42" s="25">
        <v>559944</v>
      </c>
      <c r="BR42" s="406">
        <v>562431</v>
      </c>
      <c r="BS42" s="293"/>
      <c r="BT42" s="406">
        <v>583117</v>
      </c>
      <c r="BU42" s="406"/>
      <c r="BV42" s="406">
        <v>598490</v>
      </c>
      <c r="BW42" s="21"/>
      <c r="BX42" s="293"/>
      <c r="BY42" s="25">
        <v>315847</v>
      </c>
      <c r="BZ42" s="406">
        <v>393203</v>
      </c>
      <c r="CA42" s="293"/>
      <c r="CB42" s="406">
        <v>729107</v>
      </c>
      <c r="CC42" s="406"/>
      <c r="CD42" s="406">
        <v>565352</v>
      </c>
      <c r="CE42" s="21"/>
      <c r="CF42" s="293"/>
      <c r="CG42" s="25">
        <v>507427</v>
      </c>
      <c r="CH42" s="406">
        <v>506782</v>
      </c>
      <c r="CI42" s="293"/>
      <c r="CJ42" s="406">
        <v>317137</v>
      </c>
      <c r="CK42" s="406"/>
      <c r="CL42" s="406">
        <v>316492</v>
      </c>
      <c r="CM42" s="21"/>
      <c r="CN42" s="20"/>
      <c r="CO42" s="25">
        <v>274820</v>
      </c>
      <c r="CP42" s="406">
        <v>320361</v>
      </c>
      <c r="CQ42" s="406"/>
      <c r="CR42" s="406">
        <v>407716</v>
      </c>
      <c r="CS42" s="406"/>
      <c r="CT42" s="406">
        <v>488797</v>
      </c>
      <c r="CU42" s="21"/>
      <c r="CV42" s="20"/>
      <c r="CW42" s="25">
        <v>272281</v>
      </c>
      <c r="CX42" s="406">
        <v>293075</v>
      </c>
      <c r="CY42" s="406"/>
      <c r="CZ42" s="406">
        <v>275657</v>
      </c>
      <c r="DA42" s="406"/>
      <c r="DB42" s="406">
        <v>275239</v>
      </c>
      <c r="DC42" s="21"/>
      <c r="DD42" s="20"/>
      <c r="DE42" s="25">
        <v>296063</v>
      </c>
      <c r="DF42" s="406">
        <v>265612</v>
      </c>
      <c r="DG42" s="406"/>
      <c r="DH42" s="406">
        <v>264835</v>
      </c>
      <c r="DI42" s="406"/>
      <c r="DJ42" s="406">
        <v>269558</v>
      </c>
      <c r="DK42" s="21"/>
      <c r="DL42" s="20"/>
      <c r="DM42" s="25">
        <v>80500</v>
      </c>
      <c r="DN42" s="406">
        <v>88000</v>
      </c>
      <c r="DO42" s="406"/>
      <c r="DP42" s="406">
        <v>292500</v>
      </c>
      <c r="DQ42" s="406"/>
      <c r="DR42" s="406">
        <v>216250</v>
      </c>
      <c r="DS42" s="21"/>
      <c r="DT42" s="20"/>
      <c r="DU42" s="25">
        <v>146000</v>
      </c>
      <c r="DV42" s="406">
        <v>88200</v>
      </c>
      <c r="DW42" s="406"/>
      <c r="DX42" s="406">
        <v>175800</v>
      </c>
      <c r="DY42" s="406"/>
      <c r="DZ42" s="406">
        <v>96000</v>
      </c>
      <c r="EA42" s="21"/>
      <c r="EB42" s="20"/>
      <c r="EC42" s="25">
        <v>77500</v>
      </c>
      <c r="ED42" s="406">
        <v>77500</v>
      </c>
      <c r="EE42" s="406"/>
      <c r="EF42" s="406">
        <v>77000</v>
      </c>
      <c r="EG42" s="406"/>
      <c r="EH42" s="406">
        <v>76500</v>
      </c>
      <c r="EI42" s="21"/>
      <c r="EJ42" s="20"/>
      <c r="EK42" s="25">
        <v>194500</v>
      </c>
      <c r="EL42" s="406">
        <v>154000</v>
      </c>
      <c r="EM42" s="406"/>
      <c r="EN42" s="406">
        <v>153500</v>
      </c>
      <c r="EO42" s="406"/>
      <c r="EP42" s="406">
        <v>153000</v>
      </c>
      <c r="EQ42" s="21"/>
      <c r="ER42" s="20"/>
      <c r="ES42" s="25">
        <v>95300</v>
      </c>
      <c r="ET42" s="406">
        <v>0</v>
      </c>
      <c r="EU42" s="406"/>
      <c r="EV42" s="406">
        <v>24000</v>
      </c>
      <c r="EW42" s="406"/>
      <c r="EX42" s="406">
        <v>148000</v>
      </c>
      <c r="EY42" s="21"/>
      <c r="EZ42" s="20"/>
      <c r="FA42" s="25">
        <v>50000</v>
      </c>
      <c r="FB42" s="406">
        <v>69500</v>
      </c>
      <c r="FC42" s="406"/>
      <c r="FD42" s="406">
        <v>85000</v>
      </c>
      <c r="FE42" s="21"/>
    </row>
    <row r="43" spans="1:169" s="298" customFormat="1" ht="17.25" x14ac:dyDescent="0.4">
      <c r="A43" s="293" t="s">
        <v>28</v>
      </c>
      <c r="B43" s="708">
        <f>B44-B41-B42</f>
        <v>86072.861215473153</v>
      </c>
      <c r="C43" s="293"/>
      <c r="D43" s="638">
        <f>D44-D41-D42</f>
        <v>92923.539088607999</v>
      </c>
      <c r="E43" s="615"/>
      <c r="F43" s="616">
        <f>F44-F41-F42</f>
        <v>91139.190599999856</v>
      </c>
      <c r="G43" s="615"/>
      <c r="H43" s="616">
        <f>H44-H41-H42</f>
        <v>126721.07577</v>
      </c>
      <c r="I43" s="615"/>
      <c r="J43" s="641">
        <f>J44-J41-J42</f>
        <v>94317.694769999944</v>
      </c>
      <c r="K43" s="293"/>
      <c r="L43" s="574">
        <f>L44-L41-L42</f>
        <v>80495</v>
      </c>
      <c r="M43" s="615"/>
      <c r="N43" s="616">
        <f>N44-N41-N42</f>
        <v>71691</v>
      </c>
      <c r="O43" s="615"/>
      <c r="P43" s="616">
        <f>P44-P41-P42</f>
        <v>81239</v>
      </c>
      <c r="Q43" s="410"/>
      <c r="R43" s="641">
        <f>R44-R41-R42</f>
        <v>85702</v>
      </c>
      <c r="S43" s="293"/>
      <c r="T43" s="574">
        <f>T44-T41-T42</f>
        <v>54588</v>
      </c>
      <c r="U43" s="410"/>
      <c r="V43" s="410">
        <v>45034</v>
      </c>
      <c r="W43" s="410"/>
      <c r="X43" s="410">
        <f>X44-X41-X42</f>
        <v>65362</v>
      </c>
      <c r="Y43" s="410"/>
      <c r="Z43" s="33">
        <f>Z44-Z41-Z42</f>
        <v>70020</v>
      </c>
      <c r="AA43" s="274"/>
      <c r="AB43" s="31">
        <v>49971</v>
      </c>
      <c r="AC43" s="410">
        <v>51076</v>
      </c>
      <c r="AD43" s="410"/>
      <c r="AE43" s="410"/>
      <c r="AF43" s="410">
        <f>AF44-AF41-AF42</f>
        <v>36047</v>
      </c>
      <c r="AG43" s="410"/>
      <c r="AH43" s="410">
        <f>AH44-AH41-AH42</f>
        <v>51852</v>
      </c>
      <c r="AI43" s="440"/>
      <c r="AJ43" s="293"/>
      <c r="AK43" s="296">
        <v>8286</v>
      </c>
      <c r="AL43" s="440">
        <v>10952</v>
      </c>
      <c r="AM43" s="440"/>
      <c r="AN43" s="440">
        <v>32569</v>
      </c>
      <c r="AO43" s="440"/>
      <c r="AP43" s="440">
        <v>33464</v>
      </c>
      <c r="AQ43" s="297"/>
      <c r="AR43" s="293"/>
      <c r="AS43" s="296">
        <v>10077</v>
      </c>
      <c r="AT43" s="440">
        <v>-1765</v>
      </c>
      <c r="AU43" s="440"/>
      <c r="AV43" s="440">
        <v>15806</v>
      </c>
      <c r="AW43" s="440"/>
      <c r="AX43" s="440">
        <v>8303</v>
      </c>
      <c r="AY43" s="297"/>
      <c r="AZ43" s="440"/>
      <c r="BA43" s="296">
        <v>3648</v>
      </c>
      <c r="BB43" s="440">
        <v>-2609</v>
      </c>
      <c r="BC43" s="440"/>
      <c r="BD43" s="440">
        <v>8578</v>
      </c>
      <c r="BE43" s="440"/>
      <c r="BF43" s="440">
        <v>5402</v>
      </c>
      <c r="BG43" s="297"/>
      <c r="BH43" s="293"/>
      <c r="BI43" s="296">
        <v>-188</v>
      </c>
      <c r="BJ43" s="440">
        <v>-6692</v>
      </c>
      <c r="BK43" s="440"/>
      <c r="BL43" s="440">
        <v>3611</v>
      </c>
      <c r="BM43" s="440"/>
      <c r="BN43" s="440">
        <v>-5197</v>
      </c>
      <c r="BO43" s="297"/>
      <c r="BP43" s="293"/>
      <c r="BQ43" s="296">
        <v>2618</v>
      </c>
      <c r="BR43" s="440">
        <v>6844</v>
      </c>
      <c r="BS43" s="440"/>
      <c r="BT43" s="440">
        <v>9008</v>
      </c>
      <c r="BU43" s="440"/>
      <c r="BV43" s="440">
        <v>2779</v>
      </c>
      <c r="BW43" s="297"/>
      <c r="BX43" s="293"/>
      <c r="BY43" s="296">
        <v>19263</v>
      </c>
      <c r="BZ43" s="440">
        <v>27034</v>
      </c>
      <c r="CA43" s="440"/>
      <c r="CB43" s="440">
        <v>22385</v>
      </c>
      <c r="CC43" s="440"/>
      <c r="CD43" s="440">
        <v>27831</v>
      </c>
      <c r="CE43" s="297"/>
      <c r="CF43" s="299"/>
      <c r="CG43" s="296">
        <v>21410</v>
      </c>
      <c r="CH43" s="440">
        <v>18730</v>
      </c>
      <c r="CI43" s="440"/>
      <c r="CJ43" s="440">
        <v>47079</v>
      </c>
      <c r="CK43" s="440"/>
      <c r="CL43" s="440">
        <v>22710</v>
      </c>
      <c r="CM43" s="297"/>
      <c r="CN43" s="295"/>
      <c r="CO43" s="296">
        <v>17701</v>
      </c>
      <c r="CP43" s="440">
        <v>15421</v>
      </c>
      <c r="CQ43" s="440"/>
      <c r="CR43" s="440">
        <v>15597</v>
      </c>
      <c r="CS43" s="440"/>
      <c r="CT43" s="440">
        <v>20442</v>
      </c>
      <c r="CU43" s="297"/>
      <c r="CV43" s="295"/>
      <c r="CW43" s="296">
        <v>71270</v>
      </c>
      <c r="CX43" s="440">
        <v>76957</v>
      </c>
      <c r="CY43" s="440"/>
      <c r="CZ43" s="440">
        <v>17285</v>
      </c>
      <c r="DA43" s="440"/>
      <c r="DB43" s="440">
        <v>19813</v>
      </c>
      <c r="DC43" s="297"/>
      <c r="DD43" s="295"/>
      <c r="DE43" s="296">
        <v>42748</v>
      </c>
      <c r="DF43" s="440">
        <v>47516</v>
      </c>
      <c r="DG43" s="440"/>
      <c r="DH43" s="440">
        <v>56187</v>
      </c>
      <c r="DI43" s="440"/>
      <c r="DJ43" s="440">
        <v>64001</v>
      </c>
      <c r="DK43" s="297"/>
      <c r="DL43" s="295"/>
      <c r="DM43" s="296">
        <v>82313</v>
      </c>
      <c r="DN43" s="440">
        <v>69521</v>
      </c>
      <c r="DO43" s="440"/>
      <c r="DP43" s="440">
        <v>64482</v>
      </c>
      <c r="DQ43" s="440"/>
      <c r="DR43" s="440">
        <v>59648</v>
      </c>
      <c r="DS43" s="297"/>
      <c r="DT43" s="295"/>
      <c r="DU43" s="296">
        <v>46168</v>
      </c>
      <c r="DV43" s="440">
        <v>52653</v>
      </c>
      <c r="DW43" s="440"/>
      <c r="DX43" s="440">
        <v>52219</v>
      </c>
      <c r="DY43" s="440"/>
      <c r="DZ43" s="440">
        <v>62970</v>
      </c>
      <c r="EA43" s="297"/>
      <c r="EB43" s="295"/>
      <c r="EC43" s="296">
        <v>32297</v>
      </c>
      <c r="ED43" s="440">
        <v>24863</v>
      </c>
      <c r="EE43" s="440"/>
      <c r="EF43" s="440">
        <v>24098</v>
      </c>
      <c r="EG43" s="440"/>
      <c r="EH43" s="440">
        <v>30003</v>
      </c>
      <c r="EI43" s="297"/>
      <c r="EJ43" s="295"/>
      <c r="EK43" s="296">
        <v>67117</v>
      </c>
      <c r="EL43" s="440">
        <v>66743</v>
      </c>
      <c r="EM43" s="440"/>
      <c r="EN43" s="440">
        <v>51288</v>
      </c>
      <c r="EO43" s="440"/>
      <c r="EP43" s="440">
        <v>58707</v>
      </c>
      <c r="EQ43" s="297"/>
      <c r="ER43" s="295"/>
      <c r="ES43" s="296">
        <v>45383</v>
      </c>
      <c r="ET43" s="440">
        <v>49814</v>
      </c>
      <c r="EU43" s="440"/>
      <c r="EV43" s="440">
        <v>52611</v>
      </c>
      <c r="EW43" s="440"/>
      <c r="EX43" s="440">
        <v>49242</v>
      </c>
      <c r="EY43" s="297"/>
      <c r="EZ43" s="295"/>
      <c r="FA43" s="296">
        <v>36274</v>
      </c>
      <c r="FB43" s="440">
        <v>41279</v>
      </c>
      <c r="FC43" s="440"/>
      <c r="FD43" s="440">
        <v>55206</v>
      </c>
      <c r="FE43" s="297"/>
    </row>
    <row r="44" spans="1:169" s="14" customFormat="1" collapsed="1" x14ac:dyDescent="0.25">
      <c r="A44" s="12" t="s">
        <v>29</v>
      </c>
      <c r="B44" s="732">
        <v>1153261.0564454731</v>
      </c>
      <c r="C44" s="12"/>
      <c r="D44" s="639">
        <v>330705</v>
      </c>
      <c r="E44" s="532"/>
      <c r="F44" s="532">
        <v>290733</v>
      </c>
      <c r="G44" s="532"/>
      <c r="H44" s="532">
        <v>366814</v>
      </c>
      <c r="I44" s="532"/>
      <c r="J44" s="640">
        <v>1117224</v>
      </c>
      <c r="K44" s="12"/>
      <c r="L44" s="572">
        <v>282556</v>
      </c>
      <c r="M44" s="532"/>
      <c r="N44" s="532">
        <v>299424</v>
      </c>
      <c r="O44" s="532"/>
      <c r="P44" s="532">
        <v>323377</v>
      </c>
      <c r="Q44" s="406"/>
      <c r="R44" s="640">
        <v>269989</v>
      </c>
      <c r="S44" s="12"/>
      <c r="T44" s="572">
        <f>384968-4</f>
        <v>384964</v>
      </c>
      <c r="U44" s="406"/>
      <c r="V44" s="406">
        <v>455152</v>
      </c>
      <c r="W44" s="406"/>
      <c r="X44" s="406">
        <f>424647+65362</f>
        <v>490009</v>
      </c>
      <c r="Y44" s="406"/>
      <c r="Z44" s="21">
        <f>2297600-1925879</f>
        <v>371721</v>
      </c>
      <c r="AA44" s="274"/>
      <c r="AB44" s="25">
        <f>SUM(AB41:AB43)</f>
        <v>190844</v>
      </c>
      <c r="AC44" s="406">
        <v>175745</v>
      </c>
      <c r="AD44" s="406"/>
      <c r="AE44" s="406"/>
      <c r="AF44" s="406">
        <v>412313</v>
      </c>
      <c r="AG44" s="406"/>
      <c r="AH44" s="21">
        <v>452214</v>
      </c>
      <c r="AI44" s="406"/>
      <c r="AJ44" s="12"/>
      <c r="AK44" s="25">
        <v>686862</v>
      </c>
      <c r="AL44" s="406">
        <v>127875</v>
      </c>
      <c r="AM44" s="406"/>
      <c r="AN44" s="406">
        <v>128306</v>
      </c>
      <c r="AO44" s="406"/>
      <c r="AP44" s="406">
        <f>SUM(AP41:AP43)</f>
        <v>284888</v>
      </c>
      <c r="AQ44" s="21"/>
      <c r="AR44" s="12"/>
      <c r="AS44" s="25">
        <v>-228742</v>
      </c>
      <c r="AT44" s="406">
        <v>-247554</v>
      </c>
      <c r="AU44" s="406"/>
      <c r="AV44" s="406">
        <v>-215381</v>
      </c>
      <c r="AW44" s="406"/>
      <c r="AX44" s="406">
        <v>-48832</v>
      </c>
      <c r="AY44" s="21"/>
      <c r="AZ44" s="406"/>
      <c r="BA44" s="25">
        <v>-183349</v>
      </c>
      <c r="BB44" s="406">
        <v>-22856</v>
      </c>
      <c r="BC44" s="406"/>
      <c r="BD44" s="406">
        <v>-196557</v>
      </c>
      <c r="BE44" s="406"/>
      <c r="BF44" s="406">
        <v>-448176</v>
      </c>
      <c r="BG44" s="21"/>
      <c r="BH44" s="12"/>
      <c r="BI44" s="25">
        <v>-241994</v>
      </c>
      <c r="BJ44" s="406">
        <v>-215754</v>
      </c>
      <c r="BK44" s="406"/>
      <c r="BL44" s="406">
        <v>-129197</v>
      </c>
      <c r="BM44" s="406"/>
      <c r="BN44" s="406">
        <v>-90158</v>
      </c>
      <c r="BO44" s="21"/>
      <c r="BP44" s="12"/>
      <c r="BQ44" s="25">
        <v>-227395</v>
      </c>
      <c r="BR44" s="406">
        <v>-294884</v>
      </c>
      <c r="BS44" s="406"/>
      <c r="BT44" s="406">
        <v>-274681</v>
      </c>
      <c r="BU44" s="406"/>
      <c r="BV44" s="406">
        <v>-254860</v>
      </c>
      <c r="BW44" s="21"/>
      <c r="BX44" s="12"/>
      <c r="BY44" s="25">
        <v>-174370</v>
      </c>
      <c r="BZ44" s="406">
        <v>-241960</v>
      </c>
      <c r="CA44" s="406"/>
      <c r="CB44" s="406">
        <v>-60830</v>
      </c>
      <c r="CC44" s="406"/>
      <c r="CD44" s="406">
        <v>-193592</v>
      </c>
      <c r="CE44" s="21"/>
      <c r="CF44" s="12"/>
      <c r="CG44" s="25">
        <v>-66089</v>
      </c>
      <c r="CH44" s="406">
        <v>-45516</v>
      </c>
      <c r="CI44" s="406"/>
      <c r="CJ44" s="406">
        <v>-94359</v>
      </c>
      <c r="CK44" s="406"/>
      <c r="CL44" s="406">
        <v>-112723</v>
      </c>
      <c r="CM44" s="21"/>
      <c r="CN44" s="20"/>
      <c r="CO44" s="25">
        <v>-115257</v>
      </c>
      <c r="CP44" s="406">
        <v>-59507</v>
      </c>
      <c r="CQ44" s="406"/>
      <c r="CR44" s="406">
        <v>-82196</v>
      </c>
      <c r="CS44" s="406"/>
      <c r="CT44" s="406">
        <v>-91119</v>
      </c>
      <c r="CU44" s="21"/>
      <c r="CV44" s="20"/>
      <c r="CW44" s="25">
        <v>-141290</v>
      </c>
      <c r="CX44" s="406">
        <v>-112625</v>
      </c>
      <c r="CY44" s="406"/>
      <c r="CZ44" s="406">
        <v>-109688</v>
      </c>
      <c r="DA44" s="406"/>
      <c r="DB44" s="406">
        <v>-109152</v>
      </c>
      <c r="DC44" s="21"/>
      <c r="DD44" s="20"/>
      <c r="DE44" s="25">
        <v>-126491</v>
      </c>
      <c r="DF44" s="406">
        <v>-174454</v>
      </c>
      <c r="DG44" s="406"/>
      <c r="DH44" s="406">
        <v>-144673</v>
      </c>
      <c r="DI44" s="406"/>
      <c r="DJ44" s="406">
        <v>-154185</v>
      </c>
      <c r="DK44" s="21"/>
      <c r="DL44" s="20"/>
      <c r="DM44" s="25">
        <v>-161330</v>
      </c>
      <c r="DN44" s="406">
        <v>-160923</v>
      </c>
      <c r="DO44" s="406"/>
      <c r="DP44" s="406">
        <v>-94699</v>
      </c>
      <c r="DQ44" s="406"/>
      <c r="DR44" s="406">
        <v>-101953</v>
      </c>
      <c r="DS44" s="21"/>
      <c r="DT44" s="20"/>
      <c r="DU44" s="25">
        <v>-155212</v>
      </c>
      <c r="DV44" s="406">
        <v>-214120</v>
      </c>
      <c r="DW44" s="406"/>
      <c r="DX44" s="406">
        <v>-157926</v>
      </c>
      <c r="DY44" s="406"/>
      <c r="DZ44" s="406">
        <v>-200717</v>
      </c>
      <c r="EA44" s="21"/>
      <c r="EB44" s="20"/>
      <c r="EC44" s="25">
        <v>-225649</v>
      </c>
      <c r="ED44" s="406">
        <v>-211352</v>
      </c>
      <c r="EE44" s="406"/>
      <c r="EF44" s="406">
        <v>-207348</v>
      </c>
      <c r="EG44" s="406"/>
      <c r="EH44" s="406">
        <v>-199958</v>
      </c>
      <c r="EI44" s="21"/>
      <c r="EJ44" s="20"/>
      <c r="EK44" s="25">
        <v>-168960</v>
      </c>
      <c r="EL44" s="406">
        <v>-180531</v>
      </c>
      <c r="EM44" s="406"/>
      <c r="EN44" s="406">
        <v>-180486</v>
      </c>
      <c r="EO44" s="406"/>
      <c r="EP44" s="406">
        <v>-152544</v>
      </c>
      <c r="EQ44" s="21"/>
      <c r="ER44" s="20"/>
      <c r="ES44" s="25">
        <v>-65371</v>
      </c>
      <c r="ET44" s="406">
        <v>-161177</v>
      </c>
      <c r="EU44" s="406"/>
      <c r="EV44" s="406">
        <v>-197270</v>
      </c>
      <c r="EW44" s="406"/>
      <c r="EX44" s="406">
        <v>-100941</v>
      </c>
      <c r="EY44" s="21"/>
      <c r="EZ44" s="20"/>
      <c r="FA44" s="25">
        <v>-81348</v>
      </c>
      <c r="FB44" s="406">
        <v>-68419</v>
      </c>
      <c r="FC44" s="406"/>
      <c r="FD44" s="406">
        <v>-43165</v>
      </c>
      <c r="FE44" s="21"/>
    </row>
    <row r="45" spans="1:169" s="14" customFormat="1" x14ac:dyDescent="0.25">
      <c r="A45" s="12"/>
      <c r="B45" s="732"/>
      <c r="C45" s="12"/>
      <c r="D45" s="572"/>
      <c r="E45" s="532"/>
      <c r="F45" s="532"/>
      <c r="G45" s="532"/>
      <c r="H45" s="532"/>
      <c r="I45" s="406"/>
      <c r="J45" s="640"/>
      <c r="K45" s="12"/>
      <c r="L45" s="572"/>
      <c r="M45" s="532"/>
      <c r="N45" s="532"/>
      <c r="O45" s="532"/>
      <c r="P45" s="532"/>
      <c r="Q45" s="406"/>
      <c r="R45" s="640"/>
      <c r="S45" s="12"/>
      <c r="T45" s="572"/>
      <c r="U45" s="406"/>
      <c r="V45" s="406"/>
      <c r="W45" s="406"/>
      <c r="X45" s="406"/>
      <c r="Y45" s="406"/>
      <c r="Z45" s="21"/>
      <c r="AA45" s="274"/>
      <c r="AB45" s="25"/>
      <c r="AC45" s="406"/>
      <c r="AD45" s="406"/>
      <c r="AE45" s="406"/>
      <c r="AF45" s="406"/>
      <c r="AG45" s="406"/>
      <c r="AH45" s="21"/>
      <c r="AI45" s="406"/>
      <c r="AJ45" s="12"/>
      <c r="AK45" s="25"/>
      <c r="AL45" s="406"/>
      <c r="AM45" s="406"/>
      <c r="AN45" s="406"/>
      <c r="AO45" s="406"/>
      <c r="AP45" s="406"/>
      <c r="AQ45" s="21"/>
      <c r="AR45" s="12"/>
      <c r="AS45" s="25"/>
      <c r="AT45" s="406"/>
      <c r="AU45" s="406"/>
      <c r="AV45" s="406"/>
      <c r="AW45" s="406"/>
      <c r="AX45" s="406"/>
      <c r="AY45" s="21"/>
      <c r="AZ45" s="406"/>
      <c r="BA45" s="25"/>
      <c r="BB45" s="406"/>
      <c r="BC45" s="406"/>
      <c r="BD45" s="406"/>
      <c r="BE45" s="406"/>
      <c r="BF45" s="406"/>
      <c r="BG45" s="21"/>
      <c r="BH45" s="12"/>
      <c r="BI45" s="25"/>
      <c r="BJ45" s="406"/>
      <c r="BK45" s="406"/>
      <c r="BL45" s="406"/>
      <c r="BM45" s="406"/>
      <c r="BN45" s="406"/>
      <c r="BO45" s="21"/>
      <c r="BP45" s="12"/>
      <c r="BQ45" s="25"/>
      <c r="BR45" s="406"/>
      <c r="BS45" s="406"/>
      <c r="BT45" s="406"/>
      <c r="BU45" s="406"/>
      <c r="BV45" s="406"/>
      <c r="BW45" s="21"/>
      <c r="BX45" s="12"/>
      <c r="BY45" s="25"/>
      <c r="BZ45" s="406"/>
      <c r="CA45" s="406"/>
      <c r="CB45" s="406"/>
      <c r="CC45" s="406"/>
      <c r="CD45" s="406"/>
      <c r="CE45" s="21"/>
      <c r="CF45" s="12"/>
      <c r="CG45" s="25"/>
      <c r="CH45" s="406"/>
      <c r="CI45" s="406"/>
      <c r="CJ45" s="406"/>
      <c r="CK45" s="406"/>
      <c r="CL45" s="406"/>
      <c r="CM45" s="21"/>
      <c r="CN45" s="20"/>
      <c r="CO45" s="25"/>
      <c r="CP45" s="406"/>
      <c r="CQ45" s="406"/>
      <c r="CR45" s="406"/>
      <c r="CS45" s="406"/>
      <c r="CT45" s="406"/>
      <c r="CU45" s="21"/>
      <c r="CV45" s="20"/>
      <c r="CW45" s="25"/>
      <c r="CX45" s="406"/>
      <c r="CY45" s="406"/>
      <c r="CZ45" s="406"/>
      <c r="DA45" s="406"/>
      <c r="DB45" s="406"/>
      <c r="DC45" s="21"/>
      <c r="DD45" s="20"/>
      <c r="DE45" s="25"/>
      <c r="DF45" s="406"/>
      <c r="DG45" s="406"/>
      <c r="DH45" s="406"/>
      <c r="DI45" s="406"/>
      <c r="DJ45" s="406"/>
      <c r="DK45" s="21"/>
      <c r="DL45" s="20"/>
      <c r="DM45" s="25"/>
      <c r="DN45" s="406"/>
      <c r="DO45" s="406"/>
      <c r="DP45" s="406"/>
      <c r="DQ45" s="406"/>
      <c r="DR45" s="406"/>
      <c r="DS45" s="21"/>
      <c r="DT45" s="20"/>
      <c r="DU45" s="25"/>
      <c r="DV45" s="408"/>
      <c r="DW45" s="406"/>
      <c r="DX45" s="408"/>
      <c r="DY45" s="406"/>
      <c r="DZ45" s="408"/>
      <c r="EA45" s="21"/>
      <c r="EB45" s="20"/>
      <c r="EC45" s="27"/>
      <c r="ED45" s="408"/>
      <c r="EE45" s="406"/>
      <c r="EF45" s="408"/>
      <c r="EG45" s="406"/>
      <c r="EH45" s="408"/>
      <c r="EI45" s="21"/>
      <c r="EJ45" s="20"/>
      <c r="EK45" s="27"/>
      <c r="EL45" s="406"/>
      <c r="EM45" s="406"/>
      <c r="EN45" s="408"/>
      <c r="EO45" s="406"/>
      <c r="EP45" s="408"/>
      <c r="EQ45" s="21"/>
      <c r="ER45" s="20"/>
      <c r="ES45" s="25"/>
      <c r="ET45" s="408"/>
      <c r="EU45" s="406"/>
      <c r="EV45" s="408"/>
      <c r="EW45" s="406"/>
      <c r="EX45" s="408"/>
      <c r="EY45" s="21"/>
      <c r="EZ45" s="20"/>
      <c r="FA45" s="27"/>
      <c r="FB45" s="408"/>
      <c r="FC45" s="406"/>
      <c r="FD45" s="406"/>
      <c r="FE45" s="21"/>
    </row>
    <row r="46" spans="1:169" s="14" customFormat="1" x14ac:dyDescent="0.25">
      <c r="A46" s="12" t="s">
        <v>22</v>
      </c>
      <c r="B46" s="732">
        <v>129691.155393304</v>
      </c>
      <c r="C46" s="12"/>
      <c r="D46" s="572">
        <v>-167091</v>
      </c>
      <c r="E46" s="532"/>
      <c r="F46" s="532">
        <v>-191150</v>
      </c>
      <c r="G46" s="532"/>
      <c r="H46" s="532">
        <v>-200851</v>
      </c>
      <c r="I46" s="406"/>
      <c r="J46" s="640">
        <v>131639</v>
      </c>
      <c r="K46" s="12"/>
      <c r="L46" s="572">
        <f>-76126+16679</f>
        <v>-59447</v>
      </c>
      <c r="M46" s="532"/>
      <c r="N46" s="532">
        <f>235557-338228+16691</f>
        <v>-85980</v>
      </c>
      <c r="O46" s="532"/>
      <c r="P46" s="532">
        <f>264916-377139</f>
        <v>-112223</v>
      </c>
      <c r="Q46" s="406"/>
      <c r="R46" s="640">
        <f>266271-414317</f>
        <v>-148046</v>
      </c>
      <c r="S46" s="12"/>
      <c r="T46" s="572">
        <f>229692-190568</f>
        <v>39124</v>
      </c>
      <c r="U46" s="406"/>
      <c r="V46" s="406">
        <f>240815-209665</f>
        <v>31150</v>
      </c>
      <c r="W46" s="406"/>
      <c r="X46" s="406">
        <f>250169-239470</f>
        <v>10699</v>
      </c>
      <c r="Y46" s="406"/>
      <c r="Z46" s="21">
        <f>192631-265866</f>
        <v>-73235</v>
      </c>
      <c r="AA46" s="274"/>
      <c r="AB46" s="25">
        <f>171735-1449-126617</f>
        <v>43669</v>
      </c>
      <c r="AC46" s="406">
        <f>177337-137348</f>
        <v>39989</v>
      </c>
      <c r="AD46" s="406"/>
      <c r="AE46" s="406"/>
      <c r="AF46" s="406">
        <f>220418-149315</f>
        <v>71103</v>
      </c>
      <c r="AG46" s="406"/>
      <c r="AH46" s="21">
        <f>225042-173682</f>
        <v>51360</v>
      </c>
      <c r="AI46" s="406"/>
      <c r="AJ46" s="12"/>
      <c r="AK46" s="25">
        <v>125967</v>
      </c>
      <c r="AL46" s="406">
        <v>131136</v>
      </c>
      <c r="AM46" s="406"/>
      <c r="AN46" s="406">
        <v>158816</v>
      </c>
      <c r="AO46" s="406"/>
      <c r="AP46" s="406">
        <v>172714</v>
      </c>
      <c r="AQ46" s="21"/>
      <c r="AR46" s="12"/>
      <c r="AS46" s="25">
        <v>53808</v>
      </c>
      <c r="AT46" s="406">
        <v>67816</v>
      </c>
      <c r="AU46" s="406"/>
      <c r="AV46" s="406">
        <v>70794</v>
      </c>
      <c r="AW46" s="406"/>
      <c r="AX46" s="406">
        <v>118301</v>
      </c>
      <c r="AY46" s="21"/>
      <c r="AZ46" s="406"/>
      <c r="BA46" s="25">
        <v>52187</v>
      </c>
      <c r="BB46" s="406">
        <v>45977</v>
      </c>
      <c r="BC46" s="406"/>
      <c r="BD46" s="406">
        <v>47445</v>
      </c>
      <c r="BE46" s="406"/>
      <c r="BF46" s="406">
        <v>50548</v>
      </c>
      <c r="BG46" s="21"/>
      <c r="BH46" s="12"/>
      <c r="BI46" s="25">
        <v>49670</v>
      </c>
      <c r="BJ46" s="406">
        <v>53740</v>
      </c>
      <c r="BK46" s="406"/>
      <c r="BL46" s="406">
        <v>57709</v>
      </c>
      <c r="BM46" s="406"/>
      <c r="BN46" s="406">
        <v>59970</v>
      </c>
      <c r="BO46" s="21"/>
      <c r="BP46" s="12"/>
      <c r="BQ46" s="25">
        <v>40111</v>
      </c>
      <c r="BR46" s="406">
        <v>43965</v>
      </c>
      <c r="BS46" s="406"/>
      <c r="BT46" s="406">
        <v>47626</v>
      </c>
      <c r="BU46" s="406"/>
      <c r="BV46" s="406">
        <v>52791</v>
      </c>
      <c r="BW46" s="21"/>
      <c r="BX46" s="12"/>
      <c r="BY46" s="25">
        <v>47931</v>
      </c>
      <c r="BZ46" s="406">
        <v>29828</v>
      </c>
      <c r="CA46" s="406"/>
      <c r="CB46" s="406">
        <v>36227</v>
      </c>
      <c r="CC46" s="406"/>
      <c r="CD46" s="406">
        <v>38139</v>
      </c>
      <c r="CE46" s="21"/>
      <c r="CF46" s="12"/>
      <c r="CG46" s="25">
        <v>41538</v>
      </c>
      <c r="CH46" s="406">
        <v>45019</v>
      </c>
      <c r="CI46" s="406"/>
      <c r="CJ46" s="406">
        <v>36624</v>
      </c>
      <c r="CK46" s="406"/>
      <c r="CL46" s="406">
        <v>47135</v>
      </c>
      <c r="CM46" s="21"/>
      <c r="CN46" s="20"/>
      <c r="CO46" s="25">
        <v>101686</v>
      </c>
      <c r="CP46" s="406">
        <v>110880</v>
      </c>
      <c r="CQ46" s="406"/>
      <c r="CR46" s="406">
        <v>38177</v>
      </c>
      <c r="CS46" s="406"/>
      <c r="CT46" s="406">
        <v>40903</v>
      </c>
      <c r="CU46" s="21"/>
      <c r="CV46" s="20"/>
      <c r="CW46" s="25">
        <v>41827</v>
      </c>
      <c r="CX46" s="406">
        <v>45349</v>
      </c>
      <c r="CY46" s="406"/>
      <c r="CZ46" s="406">
        <v>92948</v>
      </c>
      <c r="DA46" s="406"/>
      <c r="DB46" s="406">
        <v>95550</v>
      </c>
      <c r="DC46" s="21"/>
      <c r="DD46" s="20"/>
      <c r="DE46" s="25">
        <v>57513</v>
      </c>
      <c r="DF46" s="406">
        <v>52677</v>
      </c>
      <c r="DG46" s="406"/>
      <c r="DH46" s="406">
        <v>54897</v>
      </c>
      <c r="DI46" s="406"/>
      <c r="DJ46" s="406">
        <v>41584</v>
      </c>
      <c r="DK46" s="21"/>
      <c r="DL46" s="20"/>
      <c r="DM46" s="25">
        <v>89714</v>
      </c>
      <c r="DN46" s="406">
        <v>92541</v>
      </c>
      <c r="DO46" s="406"/>
      <c r="DP46" s="406">
        <v>151989</v>
      </c>
      <c r="DQ46" s="406"/>
      <c r="DR46" s="406">
        <v>98969</v>
      </c>
      <c r="DS46" s="21"/>
      <c r="DT46" s="20"/>
      <c r="DU46" s="25">
        <v>82685</v>
      </c>
      <c r="DV46" s="406">
        <v>84122</v>
      </c>
      <c r="DW46" s="406"/>
      <c r="DX46" s="406">
        <v>92897</v>
      </c>
      <c r="DY46" s="406"/>
      <c r="DZ46" s="406">
        <v>87840</v>
      </c>
      <c r="EA46" s="21"/>
      <c r="EB46" s="20"/>
      <c r="EC46" s="25">
        <v>65098</v>
      </c>
      <c r="ED46" s="406">
        <v>69691</v>
      </c>
      <c r="EE46" s="406"/>
      <c r="EF46" s="406">
        <v>68525</v>
      </c>
      <c r="EG46" s="406"/>
      <c r="EH46" s="406">
        <v>70905</v>
      </c>
      <c r="EI46" s="21"/>
      <c r="EJ46" s="20"/>
      <c r="EK46" s="25">
        <v>83644</v>
      </c>
      <c r="EL46" s="406">
        <v>79207</v>
      </c>
      <c r="EM46" s="406"/>
      <c r="EN46" s="406">
        <v>77510</v>
      </c>
      <c r="EO46" s="406"/>
      <c r="EP46" s="406">
        <v>79431</v>
      </c>
      <c r="EQ46" s="21"/>
      <c r="ER46" s="20"/>
      <c r="ES46" s="25">
        <v>24860</v>
      </c>
      <c r="ET46" s="406">
        <v>27883</v>
      </c>
      <c r="EU46" s="406"/>
      <c r="EV46" s="406">
        <v>30393</v>
      </c>
      <c r="EW46" s="406"/>
      <c r="EX46" s="406">
        <v>27726</v>
      </c>
      <c r="EY46" s="21"/>
      <c r="EZ46" s="20"/>
      <c r="FA46" s="25">
        <v>14523</v>
      </c>
      <c r="FB46" s="406">
        <v>25956</v>
      </c>
      <c r="FC46" s="406"/>
      <c r="FD46" s="406">
        <v>27131</v>
      </c>
      <c r="FE46" s="21"/>
    </row>
    <row r="47" spans="1:169" s="14" customFormat="1" x14ac:dyDescent="0.25">
      <c r="A47" s="12"/>
      <c r="B47" s="707"/>
      <c r="C47" s="12"/>
      <c r="D47" s="25"/>
      <c r="E47" s="532"/>
      <c r="F47" s="532"/>
      <c r="G47" s="532"/>
      <c r="H47" s="532"/>
      <c r="I47" s="406"/>
      <c r="J47" s="640"/>
      <c r="K47" s="12"/>
      <c r="L47" s="25"/>
      <c r="M47" s="532"/>
      <c r="N47" s="532"/>
      <c r="O47" s="532"/>
      <c r="P47" s="532"/>
      <c r="Q47" s="406"/>
      <c r="R47" s="640"/>
      <c r="S47" s="12"/>
      <c r="T47" s="25"/>
      <c r="U47" s="406"/>
      <c r="V47" s="406"/>
      <c r="W47" s="406"/>
      <c r="X47" s="406"/>
      <c r="Y47" s="406"/>
      <c r="Z47" s="21"/>
      <c r="AA47" s="274"/>
      <c r="AB47" s="25"/>
      <c r="AC47" s="406"/>
      <c r="AD47" s="406"/>
      <c r="AE47" s="406"/>
      <c r="AF47" s="406"/>
      <c r="AG47" s="406"/>
      <c r="AH47" s="21"/>
      <c r="AI47" s="406"/>
      <c r="AJ47" s="12"/>
      <c r="AK47" s="25"/>
      <c r="AL47" s="406"/>
      <c r="AM47" s="406"/>
      <c r="AN47" s="406"/>
      <c r="AO47" s="406"/>
      <c r="AP47" s="406"/>
      <c r="AQ47" s="21"/>
      <c r="AR47" s="12"/>
      <c r="AS47" s="25"/>
      <c r="AT47" s="406"/>
      <c r="AU47" s="406"/>
      <c r="AV47" s="406"/>
      <c r="AW47" s="406"/>
      <c r="AX47" s="406"/>
      <c r="AY47" s="21"/>
      <c r="AZ47" s="406"/>
      <c r="BA47" s="25"/>
      <c r="BB47" s="406"/>
      <c r="BC47" s="406"/>
      <c r="BD47" s="406"/>
      <c r="BE47" s="406"/>
      <c r="BF47" s="406"/>
      <c r="BG47" s="21"/>
      <c r="BH47" s="12"/>
      <c r="BI47" s="25"/>
      <c r="BJ47" s="406"/>
      <c r="BK47" s="406"/>
      <c r="BL47" s="406"/>
      <c r="BM47" s="406"/>
      <c r="BN47" s="406"/>
      <c r="BO47" s="21"/>
      <c r="BP47" s="12"/>
      <c r="BQ47" s="25"/>
      <c r="BR47" s="406"/>
      <c r="BS47" s="406"/>
      <c r="BT47" s="406"/>
      <c r="BU47" s="406"/>
      <c r="BV47" s="406"/>
      <c r="BW47" s="21"/>
      <c r="BX47" s="12"/>
      <c r="BY47" s="25"/>
      <c r="BZ47" s="406"/>
      <c r="CA47" s="406"/>
      <c r="CB47" s="406"/>
      <c r="CC47" s="406"/>
      <c r="CD47" s="406"/>
      <c r="CE47" s="21"/>
      <c r="CF47" s="12"/>
      <c r="CG47" s="25"/>
      <c r="CH47" s="406"/>
      <c r="CI47" s="406"/>
      <c r="CJ47" s="406"/>
      <c r="CK47" s="406"/>
      <c r="CL47" s="406"/>
      <c r="CM47" s="21"/>
      <c r="CN47" s="20"/>
      <c r="CO47" s="25"/>
      <c r="CP47" s="406"/>
      <c r="CQ47" s="406"/>
      <c r="CR47" s="406"/>
      <c r="CS47" s="406"/>
      <c r="CT47" s="406"/>
      <c r="CU47" s="21"/>
      <c r="CV47" s="20"/>
      <c r="CW47" s="25"/>
      <c r="CX47" s="406"/>
      <c r="CY47" s="406"/>
      <c r="CZ47" s="406"/>
      <c r="DA47" s="406"/>
      <c r="DB47" s="406"/>
      <c r="DC47" s="21"/>
      <c r="DD47" s="20"/>
      <c r="DE47" s="25"/>
      <c r="DF47" s="406"/>
      <c r="DG47" s="406"/>
      <c r="DH47" s="406"/>
      <c r="DI47" s="406"/>
      <c r="DJ47" s="406"/>
      <c r="DK47" s="21"/>
      <c r="DL47" s="20"/>
      <c r="DM47" s="25"/>
      <c r="DN47" s="406"/>
      <c r="DO47" s="406"/>
      <c r="DP47" s="406"/>
      <c r="DQ47" s="406"/>
      <c r="DR47" s="406"/>
      <c r="DS47" s="21"/>
      <c r="DT47" s="20"/>
      <c r="DU47" s="25"/>
      <c r="DV47" s="406"/>
      <c r="DW47" s="406"/>
      <c r="DX47" s="406"/>
      <c r="DY47" s="406"/>
      <c r="DZ47" s="406"/>
      <c r="EA47" s="21"/>
      <c r="EB47" s="20"/>
      <c r="EC47" s="25"/>
      <c r="ED47" s="406"/>
      <c r="EE47" s="406"/>
      <c r="EF47" s="406"/>
      <c r="EG47" s="406"/>
      <c r="EH47" s="406"/>
      <c r="EI47" s="21"/>
      <c r="EJ47" s="20"/>
      <c r="EK47" s="25"/>
      <c r="EL47" s="406"/>
      <c r="EM47" s="406"/>
      <c r="EN47" s="406"/>
      <c r="EO47" s="406"/>
      <c r="EP47" s="406"/>
      <c r="EQ47" s="21"/>
      <c r="ER47" s="20"/>
      <c r="ES47" s="25"/>
      <c r="ET47" s="406"/>
      <c r="EU47" s="406"/>
      <c r="EV47" s="406"/>
      <c r="EW47" s="406"/>
      <c r="EX47" s="406"/>
      <c r="EY47" s="21"/>
      <c r="EZ47" s="20"/>
      <c r="FA47" s="25"/>
      <c r="FB47" s="406"/>
      <c r="FC47" s="406"/>
      <c r="FD47" s="406"/>
      <c r="FE47" s="21"/>
    </row>
    <row r="48" spans="1:169" s="14" customFormat="1" x14ac:dyDescent="0.25">
      <c r="A48" s="12" t="s">
        <v>36</v>
      </c>
      <c r="B48" s="733">
        <v>-1134777.6496433038</v>
      </c>
      <c r="C48" s="12"/>
      <c r="D48" s="723">
        <f>-508012+448158</f>
        <v>-59854</v>
      </c>
      <c r="E48" s="532"/>
      <c r="F48" s="532">
        <v>-79939</v>
      </c>
      <c r="G48" s="532"/>
      <c r="H48" s="532">
        <v>-157819</v>
      </c>
      <c r="I48" s="406"/>
      <c r="J48" s="640">
        <v>-1088197</v>
      </c>
      <c r="K48" s="12"/>
      <c r="L48" s="25">
        <v>-517326</v>
      </c>
      <c r="M48" s="532"/>
      <c r="N48" s="532">
        <v>-546517</v>
      </c>
      <c r="O48" s="532"/>
      <c r="P48" s="532">
        <v>-572466</v>
      </c>
      <c r="Q48" s="406"/>
      <c r="R48" s="640">
        <v>-515358</v>
      </c>
      <c r="S48" s="12"/>
      <c r="T48" s="25">
        <v>-606258</v>
      </c>
      <c r="U48" s="406"/>
      <c r="V48" s="406">
        <f>-435307-240815</f>
        <v>-676122</v>
      </c>
      <c r="W48" s="406"/>
      <c r="X48" s="406">
        <f>-721297</f>
        <v>-721297</v>
      </c>
      <c r="Y48" s="406"/>
      <c r="Z48" s="21">
        <f>1519381-1679408</f>
        <v>-160027</v>
      </c>
      <c r="AA48" s="274"/>
      <c r="AB48" s="25">
        <v>-208638</v>
      </c>
      <c r="AC48" s="406">
        <f>-202498+3</f>
        <v>-202495</v>
      </c>
      <c r="AD48" s="406"/>
      <c r="AE48" s="406"/>
      <c r="AF48" s="406">
        <f>-611693+6</f>
        <v>-611687</v>
      </c>
      <c r="AG48" s="406"/>
      <c r="AH48" s="21">
        <v>-650600</v>
      </c>
      <c r="AI48" s="406"/>
      <c r="AJ48" s="12"/>
      <c r="AK48" s="25">
        <v>-147799</v>
      </c>
      <c r="AL48" s="406">
        <v>-204043</v>
      </c>
      <c r="AM48" s="406"/>
      <c r="AN48" s="406">
        <v>-269283</v>
      </c>
      <c r="AO48" s="406"/>
      <c r="AP48" s="406">
        <v>-254545</v>
      </c>
      <c r="AQ48" s="21"/>
      <c r="AR48" s="12"/>
      <c r="AS48" s="25">
        <v>421836</v>
      </c>
      <c r="AT48" s="406">
        <v>311370</v>
      </c>
      <c r="AU48" s="406"/>
      <c r="AV48" s="406">
        <v>271944</v>
      </c>
      <c r="AW48" s="406"/>
      <c r="AX48" s="406">
        <v>-61230</v>
      </c>
      <c r="AY48" s="21"/>
      <c r="AZ48" s="406"/>
      <c r="BA48" s="25">
        <v>182938</v>
      </c>
      <c r="BB48" s="406">
        <v>480942</v>
      </c>
      <c r="BC48" s="406"/>
      <c r="BD48" s="406">
        <v>399646</v>
      </c>
      <c r="BE48" s="406"/>
      <c r="BF48" s="406">
        <v>462922</v>
      </c>
      <c r="BG48" s="21"/>
      <c r="BH48" s="12"/>
      <c r="BI48" s="25">
        <v>197976</v>
      </c>
      <c r="BJ48" s="406">
        <v>167799</v>
      </c>
      <c r="BK48" s="406"/>
      <c r="BL48" s="406">
        <v>76022</v>
      </c>
      <c r="BM48" s="406"/>
      <c r="BN48" s="406">
        <v>38783</v>
      </c>
      <c r="BO48" s="21"/>
      <c r="BP48" s="12"/>
      <c r="BQ48" s="25">
        <v>279866</v>
      </c>
      <c r="BR48" s="406">
        <v>261957</v>
      </c>
      <c r="BS48" s="406"/>
      <c r="BT48" s="406">
        <v>238902</v>
      </c>
      <c r="BU48" s="406"/>
      <c r="BV48" s="406">
        <v>210545</v>
      </c>
      <c r="BW48" s="21"/>
      <c r="BX48" s="12"/>
      <c r="BY48" s="25">
        <v>383501</v>
      </c>
      <c r="BZ48" s="406">
        <v>431343</v>
      </c>
      <c r="CA48" s="406"/>
      <c r="CB48" s="406">
        <v>231722</v>
      </c>
      <c r="CC48" s="406"/>
      <c r="CD48" s="406">
        <v>310072</v>
      </c>
      <c r="CE48" s="21"/>
      <c r="CF48" s="12"/>
      <c r="CG48" s="25">
        <v>272316</v>
      </c>
      <c r="CH48" s="406">
        <v>261632</v>
      </c>
      <c r="CI48" s="406"/>
      <c r="CJ48" s="406">
        <v>447964</v>
      </c>
      <c r="CK48" s="406"/>
      <c r="CL48" s="406">
        <v>392594</v>
      </c>
      <c r="CM48" s="21"/>
      <c r="CN48" s="20"/>
      <c r="CO48" s="25">
        <v>103044</v>
      </c>
      <c r="CP48" s="406">
        <v>71935</v>
      </c>
      <c r="CQ48" s="406"/>
      <c r="CR48" s="406">
        <v>303419</v>
      </c>
      <c r="CS48" s="406"/>
      <c r="CT48" s="406">
        <v>312464</v>
      </c>
      <c r="CU48" s="21"/>
      <c r="CV48" s="20"/>
      <c r="CW48" s="25">
        <v>131722</v>
      </c>
      <c r="CX48" s="406">
        <v>100857</v>
      </c>
      <c r="CY48" s="406"/>
      <c r="CZ48" s="406">
        <v>177834</v>
      </c>
      <c r="DA48" s="406"/>
      <c r="DB48" s="406">
        <v>129183</v>
      </c>
      <c r="DC48" s="21"/>
      <c r="DD48" s="20"/>
      <c r="DE48" s="25">
        <v>105914</v>
      </c>
      <c r="DF48" s="406">
        <v>154969</v>
      </c>
      <c r="DG48" s="406"/>
      <c r="DH48" s="406">
        <v>126975</v>
      </c>
      <c r="DI48" s="406"/>
      <c r="DJ48" s="406">
        <v>142726</v>
      </c>
      <c r="DK48" s="21"/>
      <c r="DL48" s="20"/>
      <c r="DM48" s="25">
        <v>129576</v>
      </c>
      <c r="DN48" s="406">
        <v>124010</v>
      </c>
      <c r="DO48" s="406"/>
      <c r="DP48" s="406">
        <v>-9741</v>
      </c>
      <c r="DQ48" s="406"/>
      <c r="DR48" s="406">
        <v>163805</v>
      </c>
      <c r="DS48" s="21"/>
      <c r="DT48" s="20"/>
      <c r="DU48" s="25">
        <v>141249</v>
      </c>
      <c r="DV48" s="406">
        <v>194323</v>
      </c>
      <c r="DW48" s="406"/>
      <c r="DX48" s="406">
        <v>129468</v>
      </c>
      <c r="DY48" s="406"/>
      <c r="DZ48" s="406">
        <v>168221</v>
      </c>
      <c r="EA48" s="21"/>
      <c r="EB48" s="20"/>
      <c r="EC48" s="25">
        <v>258135</v>
      </c>
      <c r="ED48" s="406">
        <v>254382</v>
      </c>
      <c r="EE48" s="406"/>
      <c r="EF48" s="406">
        <v>237576</v>
      </c>
      <c r="EG48" s="406"/>
      <c r="EH48" s="406">
        <v>210985</v>
      </c>
      <c r="EI48" s="21"/>
      <c r="EJ48" s="20"/>
      <c r="EK48" s="25">
        <v>207038</v>
      </c>
      <c r="EL48" s="406">
        <v>293991</v>
      </c>
      <c r="EM48" s="406"/>
      <c r="EN48" s="406">
        <v>278902</v>
      </c>
      <c r="EO48" s="406"/>
      <c r="EP48" s="406">
        <v>257734</v>
      </c>
      <c r="EQ48" s="21"/>
      <c r="ER48" s="20"/>
      <c r="ES48" s="25">
        <v>160770</v>
      </c>
      <c r="ET48" s="406">
        <v>319877</v>
      </c>
      <c r="EU48" s="406"/>
      <c r="EV48" s="406">
        <v>279923</v>
      </c>
      <c r="EW48" s="406"/>
      <c r="EX48" s="406">
        <v>301595</v>
      </c>
      <c r="EY48" s="21"/>
      <c r="EZ48" s="20"/>
      <c r="FA48" s="25">
        <v>184918</v>
      </c>
      <c r="FB48" s="406">
        <v>171224</v>
      </c>
      <c r="FC48" s="406"/>
      <c r="FD48" s="406">
        <v>144648</v>
      </c>
      <c r="FE48" s="21"/>
    </row>
    <row r="49" spans="1:161" s="14" customFormat="1" ht="15.75" thickBot="1" x14ac:dyDescent="0.3">
      <c r="A49" s="54"/>
      <c r="B49" s="599"/>
      <c r="C49" s="54"/>
      <c r="D49" s="49"/>
      <c r="E49" s="617"/>
      <c r="F49" s="617"/>
      <c r="G49" s="54"/>
      <c r="H49" s="54"/>
      <c r="I49" s="54"/>
      <c r="J49" s="491"/>
      <c r="K49" s="54"/>
      <c r="L49" s="49"/>
      <c r="M49" s="617"/>
      <c r="N49" s="617"/>
      <c r="O49" s="54"/>
      <c r="P49" s="54"/>
      <c r="Q49" s="54"/>
      <c r="R49" s="491"/>
      <c r="S49" s="54"/>
      <c r="T49" s="49"/>
      <c r="U49" s="54"/>
      <c r="V49" s="54"/>
      <c r="W49" s="54"/>
      <c r="X49" s="54"/>
      <c r="Y49" s="54"/>
      <c r="Z49" s="491"/>
      <c r="AA49" s="274"/>
      <c r="AB49" s="49"/>
      <c r="AC49" s="54"/>
      <c r="AD49" s="54"/>
      <c r="AE49" s="54"/>
      <c r="AF49" s="54"/>
      <c r="AG49" s="54"/>
      <c r="AH49" s="491"/>
      <c r="AI49" s="54"/>
      <c r="AJ49" s="54"/>
      <c r="AK49" s="49"/>
      <c r="AL49" s="54"/>
      <c r="AM49" s="54"/>
      <c r="AN49" s="54"/>
      <c r="AO49" s="54"/>
      <c r="AP49" s="54"/>
      <c r="AQ49" s="491"/>
      <c r="AR49" s="54"/>
      <c r="AS49" s="49"/>
      <c r="AT49" s="54"/>
      <c r="AU49" s="54"/>
      <c r="AV49" s="54"/>
      <c r="AW49" s="52"/>
      <c r="AX49" s="52"/>
      <c r="AY49" s="71"/>
      <c r="AZ49" s="54"/>
      <c r="BA49" s="50"/>
      <c r="BB49" s="51"/>
      <c r="BC49" s="51"/>
      <c r="BD49" s="51"/>
      <c r="BE49" s="51"/>
      <c r="BF49" s="52"/>
      <c r="BG49" s="71"/>
      <c r="BH49" s="54"/>
      <c r="BI49" s="50"/>
      <c r="BJ49" s="51"/>
      <c r="BK49" s="51"/>
      <c r="BL49" s="51"/>
      <c r="BM49" s="51"/>
      <c r="BN49" s="52"/>
      <c r="BO49" s="71"/>
      <c r="BP49" s="12"/>
      <c r="BQ49" s="50"/>
      <c r="BR49" s="51"/>
      <c r="BS49" s="51"/>
      <c r="BT49" s="51"/>
      <c r="BU49" s="51"/>
      <c r="BV49" s="52"/>
      <c r="BW49" s="71"/>
      <c r="BX49" s="12"/>
      <c r="BY49" s="50"/>
      <c r="BZ49" s="51"/>
      <c r="CA49" s="51"/>
      <c r="CB49" s="51"/>
      <c r="CC49" s="51"/>
      <c r="CD49" s="52"/>
      <c r="CE49" s="53"/>
      <c r="CF49" s="54"/>
      <c r="CG49" s="50"/>
      <c r="CH49" s="51"/>
      <c r="CI49" s="51"/>
      <c r="CJ49" s="51"/>
      <c r="CK49" s="51"/>
      <c r="CL49" s="52"/>
      <c r="CM49" s="53"/>
      <c r="CN49" s="51"/>
      <c r="CO49" s="50"/>
      <c r="CP49" s="51"/>
      <c r="CQ49" s="51"/>
      <c r="CR49" s="51"/>
      <c r="CS49" s="51"/>
      <c r="CT49" s="52"/>
      <c r="CU49" s="53"/>
      <c r="CV49" s="51"/>
      <c r="CW49" s="50"/>
      <c r="CX49" s="51"/>
      <c r="CY49" s="51"/>
      <c r="CZ49" s="51"/>
      <c r="DA49" s="51"/>
      <c r="DB49" s="52"/>
      <c r="DC49" s="53"/>
      <c r="DD49" s="51"/>
      <c r="DE49" s="50"/>
      <c r="DF49" s="51"/>
      <c r="DG49" s="51"/>
      <c r="DH49" s="51"/>
      <c r="DI49" s="51"/>
      <c r="DJ49" s="52"/>
      <c r="DK49" s="53"/>
      <c r="DL49" s="51"/>
      <c r="DM49" s="50"/>
      <c r="DN49" s="51"/>
      <c r="DO49" s="51"/>
      <c r="DP49" s="51"/>
      <c r="DQ49" s="51"/>
      <c r="DR49" s="52"/>
      <c r="DS49" s="53"/>
      <c r="DT49" s="51"/>
      <c r="DU49" s="50"/>
      <c r="DV49" s="51"/>
      <c r="DW49" s="51"/>
      <c r="DX49" s="51"/>
      <c r="DY49" s="51"/>
      <c r="DZ49" s="51"/>
      <c r="EA49" s="53"/>
      <c r="EB49" s="51"/>
      <c r="EC49" s="50"/>
      <c r="ED49" s="51"/>
      <c r="EE49" s="51"/>
      <c r="EF49" s="51"/>
      <c r="EG49" s="51"/>
      <c r="EH49" s="51"/>
      <c r="EI49" s="53"/>
      <c r="EJ49" s="51"/>
      <c r="EK49" s="50"/>
      <c r="EL49" s="51"/>
      <c r="EM49" s="51"/>
      <c r="EN49" s="51"/>
      <c r="EO49" s="51"/>
      <c r="EP49" s="51"/>
      <c r="EQ49" s="53"/>
      <c r="ER49" s="51"/>
      <c r="ES49" s="50"/>
      <c r="ET49" s="51"/>
      <c r="EU49" s="51"/>
      <c r="EV49" s="51"/>
      <c r="EW49" s="51"/>
      <c r="EX49" s="51"/>
      <c r="EY49" s="53"/>
      <c r="EZ49" s="51"/>
      <c r="FA49" s="50"/>
      <c r="FB49" s="51"/>
      <c r="FC49" s="51"/>
      <c r="FD49" s="52"/>
      <c r="FE49" s="53"/>
    </row>
    <row r="50" spans="1:161" s="14" customFormat="1" x14ac:dyDescent="0.25">
      <c r="AA50" s="4"/>
      <c r="BY50" s="61"/>
      <c r="BZ50" s="61"/>
      <c r="CA50" s="62"/>
      <c r="CB50" s="62"/>
      <c r="CC50" s="62"/>
      <c r="CG50" s="61"/>
      <c r="CH50" s="61"/>
      <c r="CI50" s="62"/>
      <c r="CJ50" s="62"/>
      <c r="CK50" s="62"/>
      <c r="CL50" s="62"/>
      <c r="CM50" s="62"/>
      <c r="CN50" s="62"/>
      <c r="CO50" s="61"/>
      <c r="CP50" s="61"/>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143"/>
      <c r="DU50" s="143"/>
      <c r="DV50" s="143"/>
      <c r="DW50" s="143"/>
      <c r="DX50" s="143"/>
      <c r="DY50" s="143"/>
      <c r="DZ50" s="143"/>
      <c r="EA50" s="143"/>
      <c r="EB50" s="62"/>
      <c r="EC50" s="62"/>
      <c r="ED50" s="62"/>
      <c r="EE50" s="62"/>
      <c r="EF50" s="62"/>
      <c r="EG50" s="62"/>
      <c r="EH50" s="62"/>
      <c r="EI50" s="62"/>
      <c r="EJ50" s="62"/>
      <c r="EK50" s="62"/>
      <c r="EL50" s="62"/>
      <c r="EM50" s="62"/>
      <c r="EN50" s="62"/>
      <c r="EO50" s="62"/>
      <c r="EP50" s="62"/>
      <c r="EQ50" s="62"/>
      <c r="ER50" s="62"/>
      <c r="ES50" s="62"/>
      <c r="ET50" s="62"/>
      <c r="EU50" s="62"/>
      <c r="EV50" s="62"/>
      <c r="EW50" s="62"/>
      <c r="EX50" s="62"/>
      <c r="EY50" s="62"/>
      <c r="EZ50" s="62"/>
      <c r="FA50" s="62"/>
      <c r="FB50" s="62"/>
      <c r="FC50" s="62"/>
      <c r="FD50" s="62"/>
      <c r="FE50" s="62"/>
    </row>
    <row r="51" spans="1:161" outlineLevel="1" x14ac:dyDescent="0.25">
      <c r="A51" s="276" t="s">
        <v>37</v>
      </c>
      <c r="B51" s="276">
        <f>B10-B11-B12</f>
        <v>0</v>
      </c>
      <c r="C51" s="276"/>
      <c r="D51" s="276">
        <f t="shared" ref="D51:J51" si="89">D10-D11-D12</f>
        <v>0</v>
      </c>
      <c r="E51" s="276">
        <f t="shared" si="89"/>
        <v>0</v>
      </c>
      <c r="F51" s="276">
        <f t="shared" si="89"/>
        <v>0</v>
      </c>
      <c r="G51" s="276">
        <f t="shared" si="89"/>
        <v>0</v>
      </c>
      <c r="H51" s="276">
        <f t="shared" si="89"/>
        <v>0</v>
      </c>
      <c r="I51" s="276">
        <f t="shared" si="89"/>
        <v>0</v>
      </c>
      <c r="J51" s="276">
        <f t="shared" si="89"/>
        <v>0</v>
      </c>
      <c r="K51" s="276"/>
      <c r="L51" s="276">
        <f t="shared" ref="L51:R51" si="90">L10-L11-L12</f>
        <v>0</v>
      </c>
      <c r="M51" s="276">
        <f t="shared" si="90"/>
        <v>0</v>
      </c>
      <c r="N51" s="276">
        <f t="shared" si="90"/>
        <v>0</v>
      </c>
      <c r="O51" s="276">
        <f t="shared" si="90"/>
        <v>0</v>
      </c>
      <c r="P51" s="276">
        <f t="shared" si="90"/>
        <v>0</v>
      </c>
      <c r="Q51" s="276">
        <f t="shared" si="90"/>
        <v>0</v>
      </c>
      <c r="R51" s="276">
        <f t="shared" si="90"/>
        <v>0</v>
      </c>
      <c r="S51" s="276"/>
      <c r="T51" s="276">
        <f t="shared" ref="T51:Z51" si="91">T10-T11-T12</f>
        <v>0</v>
      </c>
      <c r="U51" s="276">
        <f t="shared" si="91"/>
        <v>0</v>
      </c>
      <c r="V51" s="276">
        <f t="shared" si="91"/>
        <v>0</v>
      </c>
      <c r="W51" s="276">
        <f t="shared" si="91"/>
        <v>0</v>
      </c>
      <c r="X51" s="276">
        <f t="shared" si="91"/>
        <v>0</v>
      </c>
      <c r="Y51" s="276">
        <f t="shared" si="91"/>
        <v>0</v>
      </c>
      <c r="Z51" s="276">
        <f t="shared" si="91"/>
        <v>0</v>
      </c>
      <c r="AB51" s="276">
        <f t="shared" ref="AB51:AH51" si="92">AB10-AB11-AB12</f>
        <v>0</v>
      </c>
      <c r="AC51" s="276">
        <f t="shared" si="92"/>
        <v>0</v>
      </c>
      <c r="AD51" s="276">
        <f t="shared" si="92"/>
        <v>0</v>
      </c>
      <c r="AE51" s="276">
        <f t="shared" si="92"/>
        <v>0</v>
      </c>
      <c r="AF51" s="276">
        <f t="shared" si="92"/>
        <v>0</v>
      </c>
      <c r="AG51" s="276">
        <f t="shared" si="92"/>
        <v>0</v>
      </c>
      <c r="AH51" s="276">
        <f t="shared" si="92"/>
        <v>0</v>
      </c>
      <c r="AI51" s="276"/>
      <c r="AK51" s="276">
        <f t="shared" ref="AK51:AQ51" si="93">AK10-AK11-AK12</f>
        <v>0</v>
      </c>
      <c r="AL51" s="276">
        <f t="shared" si="93"/>
        <v>0</v>
      </c>
      <c r="AM51" s="276">
        <f t="shared" si="93"/>
        <v>0</v>
      </c>
      <c r="AN51" s="276">
        <f t="shared" si="93"/>
        <v>0</v>
      </c>
      <c r="AO51" s="276">
        <f t="shared" si="93"/>
        <v>0</v>
      </c>
      <c r="AP51" s="276">
        <f t="shared" si="93"/>
        <v>0</v>
      </c>
      <c r="AQ51" s="276">
        <f t="shared" si="93"/>
        <v>0</v>
      </c>
      <c r="AS51" s="276">
        <f t="shared" ref="AS51:AY51" si="94">AS10-AS11-AS12</f>
        <v>0</v>
      </c>
      <c r="AT51" s="276">
        <f t="shared" si="94"/>
        <v>0</v>
      </c>
      <c r="AU51" s="276">
        <f t="shared" si="94"/>
        <v>0</v>
      </c>
      <c r="AV51" s="276">
        <f t="shared" si="94"/>
        <v>0</v>
      </c>
      <c r="AW51" s="276">
        <f t="shared" si="94"/>
        <v>0</v>
      </c>
      <c r="AX51" s="276">
        <f t="shared" si="94"/>
        <v>0</v>
      </c>
      <c r="AY51" s="276">
        <f t="shared" si="94"/>
        <v>0</v>
      </c>
      <c r="BA51" s="276">
        <f t="shared" ref="BA51:BG51" si="95">BA10-BA11-BA12</f>
        <v>0</v>
      </c>
      <c r="BB51" s="276">
        <f t="shared" si="95"/>
        <v>0</v>
      </c>
      <c r="BC51" s="276">
        <f t="shared" si="95"/>
        <v>0</v>
      </c>
      <c r="BD51" s="276">
        <f t="shared" si="95"/>
        <v>0</v>
      </c>
      <c r="BE51" s="276">
        <f t="shared" si="95"/>
        <v>0</v>
      </c>
      <c r="BF51" s="276">
        <f t="shared" si="95"/>
        <v>0</v>
      </c>
      <c r="BG51" s="276">
        <f t="shared" si="95"/>
        <v>0</v>
      </c>
      <c r="BI51" s="276">
        <f t="shared" ref="BI51:BO51" si="96">BI10-BI11-BI12</f>
        <v>0</v>
      </c>
      <c r="BJ51" s="276">
        <f t="shared" si="96"/>
        <v>0</v>
      </c>
      <c r="BK51" s="276">
        <f t="shared" si="96"/>
        <v>0</v>
      </c>
      <c r="BL51" s="276">
        <f t="shared" si="96"/>
        <v>0</v>
      </c>
      <c r="BM51" s="276">
        <f t="shared" si="96"/>
        <v>0</v>
      </c>
      <c r="BN51" s="276">
        <f t="shared" si="96"/>
        <v>0</v>
      </c>
      <c r="BO51" s="276">
        <f t="shared" si="96"/>
        <v>0</v>
      </c>
      <c r="BQ51" s="276">
        <f t="shared" ref="BQ51:BW51" si="97">BQ10-BQ11-BQ12</f>
        <v>0</v>
      </c>
      <c r="BR51" s="276">
        <f t="shared" si="97"/>
        <v>0</v>
      </c>
      <c r="BS51" s="276">
        <f t="shared" si="97"/>
        <v>0</v>
      </c>
      <c r="BT51" s="276">
        <f t="shared" si="97"/>
        <v>0</v>
      </c>
      <c r="BU51" s="276">
        <f t="shared" si="97"/>
        <v>0</v>
      </c>
      <c r="BV51" s="276">
        <f t="shared" si="97"/>
        <v>0</v>
      </c>
      <c r="BW51" s="276">
        <f t="shared" si="97"/>
        <v>0</v>
      </c>
      <c r="BY51" s="276">
        <f t="shared" ref="BY51:CE51" si="98">BY10-BY11-BY12</f>
        <v>0</v>
      </c>
      <c r="BZ51" s="276">
        <f t="shared" si="98"/>
        <v>0</v>
      </c>
      <c r="CA51" s="276">
        <f t="shared" si="98"/>
        <v>0</v>
      </c>
      <c r="CB51" s="276">
        <f t="shared" si="98"/>
        <v>0</v>
      </c>
      <c r="CC51" s="276">
        <f t="shared" si="98"/>
        <v>0</v>
      </c>
      <c r="CD51" s="276">
        <f t="shared" si="98"/>
        <v>0</v>
      </c>
      <c r="CE51" s="276">
        <f t="shared" si="98"/>
        <v>0</v>
      </c>
      <c r="CG51" s="276">
        <f t="shared" ref="CG51:CM51" si="99">CG10-CG11-CG12</f>
        <v>0</v>
      </c>
      <c r="CH51" s="276">
        <f t="shared" si="99"/>
        <v>0</v>
      </c>
      <c r="CI51" s="276">
        <f t="shared" si="99"/>
        <v>0</v>
      </c>
      <c r="CJ51" s="276">
        <f t="shared" si="99"/>
        <v>0</v>
      </c>
      <c r="CK51" s="276">
        <f t="shared" si="99"/>
        <v>0</v>
      </c>
      <c r="CL51" s="276">
        <f t="shared" si="99"/>
        <v>0</v>
      </c>
      <c r="CM51" s="276">
        <f t="shared" si="99"/>
        <v>0</v>
      </c>
      <c r="CO51" s="276">
        <f t="shared" ref="CO51:CU51" si="100">CO10-CO11-CO12</f>
        <v>0</v>
      </c>
      <c r="CP51" s="276">
        <f t="shared" si="100"/>
        <v>0</v>
      </c>
      <c r="CQ51" s="276">
        <f t="shared" si="100"/>
        <v>0</v>
      </c>
      <c r="CR51" s="276">
        <f t="shared" si="100"/>
        <v>0</v>
      </c>
      <c r="CS51" s="276">
        <f t="shared" si="100"/>
        <v>0</v>
      </c>
      <c r="CT51" s="276">
        <f t="shared" si="100"/>
        <v>0</v>
      </c>
      <c r="CU51" s="276">
        <f t="shared" si="100"/>
        <v>0</v>
      </c>
      <c r="CW51" s="276">
        <f t="shared" ref="CW51:DC51" si="101">CW10-CW11-CW12</f>
        <v>0</v>
      </c>
      <c r="CX51" s="276">
        <f t="shared" si="101"/>
        <v>0</v>
      </c>
      <c r="CY51" s="276">
        <f t="shared" si="101"/>
        <v>0</v>
      </c>
      <c r="CZ51" s="276">
        <f t="shared" si="101"/>
        <v>0</v>
      </c>
      <c r="DA51" s="276">
        <f t="shared" si="101"/>
        <v>0</v>
      </c>
      <c r="DB51" s="276">
        <f t="shared" si="101"/>
        <v>0</v>
      </c>
      <c r="DC51" s="276">
        <f t="shared" si="101"/>
        <v>0</v>
      </c>
      <c r="DE51" s="276">
        <f t="shared" ref="DE51:DK51" si="102">DE10-DE11-DE12</f>
        <v>0</v>
      </c>
      <c r="DF51" s="276">
        <f t="shared" si="102"/>
        <v>0</v>
      </c>
      <c r="DG51" s="276">
        <f t="shared" si="102"/>
        <v>0</v>
      </c>
      <c r="DH51" s="276">
        <f t="shared" si="102"/>
        <v>0</v>
      </c>
      <c r="DI51" s="276">
        <f t="shared" si="102"/>
        <v>0</v>
      </c>
      <c r="DJ51" s="276">
        <f t="shared" si="102"/>
        <v>0</v>
      </c>
      <c r="DK51" s="276">
        <f t="shared" si="102"/>
        <v>0</v>
      </c>
      <c r="DM51" s="276">
        <f t="shared" ref="DM51:DS51" si="103">DM10-DM11-DM12</f>
        <v>0</v>
      </c>
      <c r="DN51" s="276">
        <f t="shared" si="103"/>
        <v>0</v>
      </c>
      <c r="DO51" s="276">
        <f t="shared" si="103"/>
        <v>0</v>
      </c>
      <c r="DP51" s="276">
        <f t="shared" si="103"/>
        <v>0</v>
      </c>
      <c r="DQ51" s="276">
        <f t="shared" si="103"/>
        <v>0</v>
      </c>
      <c r="DR51" s="276">
        <f t="shared" si="103"/>
        <v>0</v>
      </c>
      <c r="DS51" s="276">
        <f t="shared" si="103"/>
        <v>0</v>
      </c>
      <c r="DU51" s="276">
        <f t="shared" ref="DU51:EA51" si="104">DU10-DU11-DU12</f>
        <v>0</v>
      </c>
      <c r="DV51" s="276">
        <f t="shared" si="104"/>
        <v>0</v>
      </c>
      <c r="DW51" s="276">
        <f t="shared" si="104"/>
        <v>0</v>
      </c>
      <c r="DX51" s="276">
        <f t="shared" si="104"/>
        <v>0</v>
      </c>
      <c r="DY51" s="276">
        <f t="shared" si="104"/>
        <v>0</v>
      </c>
      <c r="DZ51" s="276">
        <f t="shared" si="104"/>
        <v>0</v>
      </c>
      <c r="EA51" s="276">
        <f t="shared" si="104"/>
        <v>0</v>
      </c>
      <c r="EC51" s="276">
        <f t="shared" ref="EC51:EI51" si="105">EC10-EC11-EC12</f>
        <v>0</v>
      </c>
      <c r="ED51" s="276">
        <f t="shared" si="105"/>
        <v>0</v>
      </c>
      <c r="EE51" s="276">
        <f t="shared" si="105"/>
        <v>0</v>
      </c>
      <c r="EF51" s="276">
        <f t="shared" si="105"/>
        <v>0</v>
      </c>
      <c r="EG51" s="276">
        <f t="shared" si="105"/>
        <v>0</v>
      </c>
      <c r="EH51" s="276">
        <f t="shared" si="105"/>
        <v>0</v>
      </c>
      <c r="EI51" s="276">
        <f t="shared" si="105"/>
        <v>0</v>
      </c>
      <c r="EK51" s="276">
        <f t="shared" ref="EK51:EQ51" si="106">EK10-EK11-EK12</f>
        <v>0</v>
      </c>
      <c r="EL51" s="276">
        <f t="shared" si="106"/>
        <v>0</v>
      </c>
      <c r="EM51" s="276">
        <f t="shared" si="106"/>
        <v>0</v>
      </c>
      <c r="EN51" s="276">
        <f t="shared" si="106"/>
        <v>0</v>
      </c>
      <c r="EO51" s="276">
        <f t="shared" si="106"/>
        <v>0</v>
      </c>
      <c r="EP51" s="276">
        <f t="shared" si="106"/>
        <v>0</v>
      </c>
      <c r="EQ51" s="276">
        <f t="shared" si="106"/>
        <v>0</v>
      </c>
      <c r="ES51" s="276">
        <f t="shared" ref="ES51:EY51" si="107">ES10-ES11-ES12</f>
        <v>0</v>
      </c>
      <c r="ET51" s="276">
        <f t="shared" si="107"/>
        <v>0</v>
      </c>
      <c r="EU51" s="276">
        <f t="shared" si="107"/>
        <v>0</v>
      </c>
      <c r="EV51" s="276">
        <f t="shared" si="107"/>
        <v>0</v>
      </c>
      <c r="EW51" s="276">
        <f t="shared" si="107"/>
        <v>0</v>
      </c>
      <c r="EX51" s="276">
        <f t="shared" si="107"/>
        <v>0</v>
      </c>
      <c r="EY51" s="276">
        <f t="shared" si="107"/>
        <v>0</v>
      </c>
      <c r="FA51" s="276">
        <f>FA10-FA11-FA12</f>
        <v>0</v>
      </c>
      <c r="FB51" s="276">
        <f>FB10-FB11-FB12</f>
        <v>0</v>
      </c>
      <c r="FC51" s="276">
        <f>FC10-FC11-FC12</f>
        <v>0</v>
      </c>
      <c r="FD51" s="276">
        <f>FD10-FD11-FD12</f>
        <v>0</v>
      </c>
      <c r="FE51" s="276">
        <f>FE10-FE11-FE12</f>
        <v>0</v>
      </c>
    </row>
    <row r="52" spans="1:161" outlineLevel="1" x14ac:dyDescent="0.25">
      <c r="A52" s="276" t="s">
        <v>38</v>
      </c>
      <c r="B52" s="276">
        <f>B12-SUM(B13:B17)-B18</f>
        <v>0</v>
      </c>
      <c r="C52" s="276"/>
      <c r="D52" s="276">
        <f t="shared" ref="D52:J52" si="108">D12-SUM(D13:D17)-D18</f>
        <v>0</v>
      </c>
      <c r="E52" s="276">
        <f t="shared" si="108"/>
        <v>0</v>
      </c>
      <c r="F52" s="276">
        <f t="shared" si="108"/>
        <v>0</v>
      </c>
      <c r="G52" s="276">
        <f t="shared" si="108"/>
        <v>0</v>
      </c>
      <c r="H52" s="276">
        <f t="shared" si="108"/>
        <v>0</v>
      </c>
      <c r="I52" s="276">
        <f t="shared" si="108"/>
        <v>0</v>
      </c>
      <c r="J52" s="276">
        <f t="shared" si="108"/>
        <v>0</v>
      </c>
      <c r="K52" s="276"/>
      <c r="L52" s="276">
        <f t="shared" ref="L52:R52" si="109">L12-SUM(L13:L17)-L18</f>
        <v>0</v>
      </c>
      <c r="M52" s="276">
        <f t="shared" si="109"/>
        <v>0</v>
      </c>
      <c r="N52" s="276">
        <f t="shared" si="109"/>
        <v>0</v>
      </c>
      <c r="O52" s="276">
        <f t="shared" si="109"/>
        <v>0</v>
      </c>
      <c r="P52" s="276">
        <f t="shared" si="109"/>
        <v>0</v>
      </c>
      <c r="Q52" s="276">
        <f t="shared" si="109"/>
        <v>0</v>
      </c>
      <c r="R52" s="276">
        <f t="shared" si="109"/>
        <v>0</v>
      </c>
      <c r="S52" s="276"/>
      <c r="T52" s="276">
        <f t="shared" ref="T52:Z52" si="110">T12-SUM(T13:T17)-T18</f>
        <v>0</v>
      </c>
      <c r="U52" s="276">
        <f t="shared" si="110"/>
        <v>0</v>
      </c>
      <c r="V52" s="276">
        <f t="shared" si="110"/>
        <v>0</v>
      </c>
      <c r="W52" s="276">
        <f t="shared" si="110"/>
        <v>0</v>
      </c>
      <c r="X52" s="276">
        <f t="shared" si="110"/>
        <v>0</v>
      </c>
      <c r="Y52" s="276">
        <f t="shared" si="110"/>
        <v>0</v>
      </c>
      <c r="Z52" s="276">
        <f t="shared" si="110"/>
        <v>0</v>
      </c>
      <c r="AB52" s="276">
        <f t="shared" ref="AB52:AH52" si="111">AB12-SUM(AB13:AB17)-AB18</f>
        <v>0</v>
      </c>
      <c r="AC52" s="276">
        <f t="shared" si="111"/>
        <v>0</v>
      </c>
      <c r="AD52" s="276">
        <f t="shared" si="111"/>
        <v>0</v>
      </c>
      <c r="AE52" s="276">
        <f t="shared" si="111"/>
        <v>0</v>
      </c>
      <c r="AF52" s="276">
        <f t="shared" si="111"/>
        <v>0</v>
      </c>
      <c r="AG52" s="276">
        <f>AG12-SUM(AG13:AG17)-AG18</f>
        <v>0</v>
      </c>
      <c r="AH52" s="276">
        <f t="shared" si="111"/>
        <v>0</v>
      </c>
      <c r="AI52" s="276"/>
      <c r="AK52" s="276">
        <f t="shared" ref="AK52:AQ52" si="112">AK12-SUM(AK13:AK17)-AK18</f>
        <v>0</v>
      </c>
      <c r="AL52" s="276">
        <f t="shared" si="112"/>
        <v>0</v>
      </c>
      <c r="AM52" s="276">
        <f t="shared" si="112"/>
        <v>0</v>
      </c>
      <c r="AN52" s="276">
        <f t="shared" si="112"/>
        <v>0</v>
      </c>
      <c r="AO52" s="276">
        <f t="shared" si="112"/>
        <v>0</v>
      </c>
      <c r="AP52" s="276">
        <f t="shared" si="112"/>
        <v>0</v>
      </c>
      <c r="AQ52" s="276">
        <f t="shared" si="112"/>
        <v>0</v>
      </c>
      <c r="AS52" s="276">
        <f t="shared" ref="AS52:AY52" si="113">AS12-SUM(AS13:AS17)-AS18</f>
        <v>0</v>
      </c>
      <c r="AT52" s="276">
        <f t="shared" si="113"/>
        <v>0</v>
      </c>
      <c r="AU52" s="276">
        <f t="shared" si="113"/>
        <v>0</v>
      </c>
      <c r="AV52" s="276">
        <f t="shared" si="113"/>
        <v>0</v>
      </c>
      <c r="AW52" s="276">
        <f t="shared" si="113"/>
        <v>0</v>
      </c>
      <c r="AX52" s="276">
        <f t="shared" si="113"/>
        <v>0</v>
      </c>
      <c r="AY52" s="276">
        <f t="shared" si="113"/>
        <v>0</v>
      </c>
      <c r="BA52" s="276">
        <f t="shared" ref="BA52:BG52" si="114">BA12-SUM(BA13:BA17)-BA18</f>
        <v>0</v>
      </c>
      <c r="BB52" s="276">
        <f t="shared" si="114"/>
        <v>0</v>
      </c>
      <c r="BC52" s="276">
        <f t="shared" si="114"/>
        <v>0</v>
      </c>
      <c r="BD52" s="276">
        <f t="shared" si="114"/>
        <v>0</v>
      </c>
      <c r="BE52" s="276">
        <f t="shared" si="114"/>
        <v>0</v>
      </c>
      <c r="BF52" s="276">
        <f t="shared" si="114"/>
        <v>0</v>
      </c>
      <c r="BG52" s="276">
        <f t="shared" si="114"/>
        <v>0</v>
      </c>
      <c r="BI52" s="276">
        <f t="shared" ref="BI52:BO52" si="115">BI12-SUM(BI13:BI17)-BI18</f>
        <v>0</v>
      </c>
      <c r="BJ52" s="276">
        <f t="shared" si="115"/>
        <v>0</v>
      </c>
      <c r="BK52" s="276">
        <f t="shared" si="115"/>
        <v>0</v>
      </c>
      <c r="BL52" s="276">
        <f t="shared" si="115"/>
        <v>0</v>
      </c>
      <c r="BM52" s="276">
        <f t="shared" si="115"/>
        <v>0</v>
      </c>
      <c r="BN52" s="276">
        <f t="shared" si="115"/>
        <v>0</v>
      </c>
      <c r="BO52" s="276">
        <f t="shared" si="115"/>
        <v>0</v>
      </c>
      <c r="BQ52" s="276">
        <f t="shared" ref="BQ52:BW52" si="116">BQ12-SUM(BQ13:BQ17)-BQ18</f>
        <v>0</v>
      </c>
      <c r="BR52" s="276">
        <f t="shared" si="116"/>
        <v>0</v>
      </c>
      <c r="BS52" s="276">
        <f t="shared" si="116"/>
        <v>0</v>
      </c>
      <c r="BT52" s="276">
        <f t="shared" si="116"/>
        <v>0</v>
      </c>
      <c r="BU52" s="276">
        <f t="shared" si="116"/>
        <v>0</v>
      </c>
      <c r="BV52" s="276">
        <f t="shared" si="116"/>
        <v>0</v>
      </c>
      <c r="BW52" s="276">
        <f t="shared" si="116"/>
        <v>0</v>
      </c>
      <c r="BY52" s="276">
        <f t="shared" ref="BY52:CE52" si="117">BY12-SUM(BY13:BY17)-BY18</f>
        <v>0</v>
      </c>
      <c r="BZ52" s="276">
        <f t="shared" si="117"/>
        <v>0</v>
      </c>
      <c r="CA52" s="276">
        <f t="shared" si="117"/>
        <v>0</v>
      </c>
      <c r="CB52" s="276">
        <f t="shared" si="117"/>
        <v>0</v>
      </c>
      <c r="CC52" s="276">
        <f t="shared" si="117"/>
        <v>0</v>
      </c>
      <c r="CD52" s="276">
        <f t="shared" si="117"/>
        <v>0</v>
      </c>
      <c r="CE52" s="276">
        <f t="shared" si="117"/>
        <v>0</v>
      </c>
      <c r="CG52" s="276">
        <f t="shared" ref="CG52:CM52" si="118">CG12-SUM(CG13:CG17)-CG18</f>
        <v>0</v>
      </c>
      <c r="CH52" s="276">
        <f t="shared" si="118"/>
        <v>0</v>
      </c>
      <c r="CI52" s="276">
        <f t="shared" si="118"/>
        <v>0</v>
      </c>
      <c r="CJ52" s="276">
        <f t="shared" si="118"/>
        <v>0</v>
      </c>
      <c r="CK52" s="276">
        <f t="shared" si="118"/>
        <v>0</v>
      </c>
      <c r="CL52" s="276">
        <f t="shared" si="118"/>
        <v>0</v>
      </c>
      <c r="CM52" s="276">
        <f t="shared" si="118"/>
        <v>0</v>
      </c>
      <c r="CO52" s="276">
        <f t="shared" ref="CO52:CU52" si="119">CO12-SUM(CO13:CO17)-CO18</f>
        <v>0</v>
      </c>
      <c r="CP52" s="276">
        <f t="shared" si="119"/>
        <v>0</v>
      </c>
      <c r="CQ52" s="276">
        <f t="shared" si="119"/>
        <v>0</v>
      </c>
      <c r="CR52" s="276">
        <f t="shared" si="119"/>
        <v>0</v>
      </c>
      <c r="CS52" s="276">
        <f t="shared" si="119"/>
        <v>0</v>
      </c>
      <c r="CT52" s="276">
        <f t="shared" si="119"/>
        <v>0</v>
      </c>
      <c r="CU52" s="276">
        <f t="shared" si="119"/>
        <v>0</v>
      </c>
      <c r="CW52" s="276">
        <f t="shared" ref="CW52:DC52" si="120">CW12-SUM(CW13:CW17)-CW18</f>
        <v>0</v>
      </c>
      <c r="CX52" s="276">
        <f t="shared" si="120"/>
        <v>0</v>
      </c>
      <c r="CY52" s="276">
        <f t="shared" si="120"/>
        <v>0</v>
      </c>
      <c r="CZ52" s="276">
        <f t="shared" si="120"/>
        <v>0</v>
      </c>
      <c r="DA52" s="276">
        <f t="shared" si="120"/>
        <v>0</v>
      </c>
      <c r="DB52" s="276">
        <f t="shared" si="120"/>
        <v>0</v>
      </c>
      <c r="DC52" s="276">
        <f t="shared" si="120"/>
        <v>0</v>
      </c>
      <c r="DE52" s="276">
        <f t="shared" ref="DE52:DK52" si="121">DE12-SUM(DE13:DE17)-DE18</f>
        <v>0</v>
      </c>
      <c r="DF52" s="276">
        <f t="shared" si="121"/>
        <v>0</v>
      </c>
      <c r="DG52" s="276">
        <f t="shared" si="121"/>
        <v>0</v>
      </c>
      <c r="DH52" s="276">
        <f t="shared" si="121"/>
        <v>0</v>
      </c>
      <c r="DI52" s="276">
        <f t="shared" si="121"/>
        <v>0</v>
      </c>
      <c r="DJ52" s="276">
        <f t="shared" si="121"/>
        <v>0</v>
      </c>
      <c r="DK52" s="276">
        <f t="shared" si="121"/>
        <v>0</v>
      </c>
      <c r="DM52" s="276">
        <f t="shared" ref="DM52:DS52" si="122">DM12-SUM(DM13:DM17)-DM18</f>
        <v>0</v>
      </c>
      <c r="DN52" s="276">
        <f t="shared" si="122"/>
        <v>0</v>
      </c>
      <c r="DO52" s="276">
        <f t="shared" si="122"/>
        <v>0</v>
      </c>
      <c r="DP52" s="276">
        <f t="shared" si="122"/>
        <v>0</v>
      </c>
      <c r="DQ52" s="276">
        <f t="shared" si="122"/>
        <v>0</v>
      </c>
      <c r="DR52" s="276">
        <f t="shared" si="122"/>
        <v>0</v>
      </c>
      <c r="DS52" s="276">
        <f t="shared" si="122"/>
        <v>0</v>
      </c>
      <c r="DU52" s="276">
        <f t="shared" ref="DU52:EA52" si="123">DU12-SUM(DU13:DU17)-DU18</f>
        <v>0</v>
      </c>
      <c r="DV52" s="276">
        <f t="shared" si="123"/>
        <v>0</v>
      </c>
      <c r="DW52" s="276">
        <f t="shared" si="123"/>
        <v>0</v>
      </c>
      <c r="DX52" s="276">
        <f t="shared" si="123"/>
        <v>0</v>
      </c>
      <c r="DY52" s="276">
        <f t="shared" si="123"/>
        <v>0</v>
      </c>
      <c r="DZ52" s="276">
        <f t="shared" si="123"/>
        <v>0</v>
      </c>
      <c r="EA52" s="276">
        <f t="shared" si="123"/>
        <v>0</v>
      </c>
      <c r="EC52" s="276">
        <f t="shared" ref="EC52:EI52" si="124">EC12-SUM(EC13:EC17)-EC18</f>
        <v>0</v>
      </c>
      <c r="ED52" s="276">
        <f t="shared" si="124"/>
        <v>0</v>
      </c>
      <c r="EE52" s="276">
        <f t="shared" si="124"/>
        <v>0</v>
      </c>
      <c r="EF52" s="276">
        <f t="shared" si="124"/>
        <v>0</v>
      </c>
      <c r="EG52" s="276">
        <f t="shared" si="124"/>
        <v>0</v>
      </c>
      <c r="EH52" s="276">
        <f t="shared" si="124"/>
        <v>0</v>
      </c>
      <c r="EI52" s="276">
        <f t="shared" si="124"/>
        <v>0</v>
      </c>
      <c r="EK52" s="276">
        <f t="shared" ref="EK52:EQ52" si="125">EK12-SUM(EK13:EK17)-EK18</f>
        <v>0</v>
      </c>
      <c r="EL52" s="276">
        <f t="shared" si="125"/>
        <v>0</v>
      </c>
      <c r="EM52" s="276">
        <f t="shared" si="125"/>
        <v>0</v>
      </c>
      <c r="EN52" s="276">
        <f t="shared" si="125"/>
        <v>0</v>
      </c>
      <c r="EO52" s="276">
        <f t="shared" si="125"/>
        <v>0</v>
      </c>
      <c r="EP52" s="276">
        <f t="shared" si="125"/>
        <v>0</v>
      </c>
      <c r="EQ52" s="276">
        <f t="shared" si="125"/>
        <v>0</v>
      </c>
      <c r="ES52" s="276">
        <f t="shared" ref="ES52:EY52" si="126">ES12-SUM(ES13:ES17)-ES18</f>
        <v>0</v>
      </c>
      <c r="ET52" s="276">
        <f t="shared" si="126"/>
        <v>0</v>
      </c>
      <c r="EU52" s="276">
        <f t="shared" si="126"/>
        <v>0</v>
      </c>
      <c r="EV52" s="276">
        <f t="shared" si="126"/>
        <v>0</v>
      </c>
      <c r="EW52" s="276">
        <f t="shared" si="126"/>
        <v>0</v>
      </c>
      <c r="EX52" s="276">
        <f t="shared" si="126"/>
        <v>0</v>
      </c>
      <c r="EY52" s="276">
        <f t="shared" si="126"/>
        <v>0</v>
      </c>
      <c r="FA52" s="276">
        <f>FA12-SUM(FA13:FA17)-FA18</f>
        <v>0</v>
      </c>
      <c r="FB52" s="276">
        <f>FB12-SUM(FB13:FB17)-FB18</f>
        <v>0</v>
      </c>
      <c r="FC52" s="276">
        <f>FC12-SUM(FC13:FC17)-FC18</f>
        <v>0</v>
      </c>
      <c r="FD52" s="276">
        <f>FD12-SUM(FD13:FD17)-FD18</f>
        <v>0</v>
      </c>
      <c r="FE52" s="276">
        <f>FE12-SUM(FE13:FE17)-FE18</f>
        <v>0</v>
      </c>
    </row>
    <row r="53" spans="1:161" outlineLevel="1" x14ac:dyDescent="0.25">
      <c r="A53" s="276" t="s">
        <v>24</v>
      </c>
      <c r="B53" s="276">
        <f t="shared" ref="B53:J53" si="127">B18-SUM(B19:B26)-B27</f>
        <v>0</v>
      </c>
      <c r="C53" s="276"/>
      <c r="D53" s="276">
        <f t="shared" si="127"/>
        <v>0</v>
      </c>
      <c r="E53" s="276">
        <f t="shared" si="127"/>
        <v>0</v>
      </c>
      <c r="F53" s="276">
        <f t="shared" si="127"/>
        <v>0</v>
      </c>
      <c r="G53" s="276">
        <f t="shared" si="127"/>
        <v>0</v>
      </c>
      <c r="H53" s="276">
        <f t="shared" si="127"/>
        <v>0</v>
      </c>
      <c r="I53" s="276">
        <f t="shared" si="127"/>
        <v>0</v>
      </c>
      <c r="J53" s="276">
        <f t="shared" si="127"/>
        <v>0</v>
      </c>
      <c r="K53" s="276"/>
      <c r="L53" s="276">
        <f t="shared" ref="L53:AH53" si="128">L18-SUM(L19:L26)-L27</f>
        <v>0</v>
      </c>
      <c r="M53" s="276">
        <f t="shared" si="128"/>
        <v>0</v>
      </c>
      <c r="N53" s="276">
        <f t="shared" si="128"/>
        <v>0</v>
      </c>
      <c r="O53" s="276">
        <f t="shared" si="128"/>
        <v>0</v>
      </c>
      <c r="P53" s="276">
        <f t="shared" si="128"/>
        <v>0</v>
      </c>
      <c r="Q53" s="276">
        <f t="shared" si="128"/>
        <v>0</v>
      </c>
      <c r="R53" s="276">
        <f t="shared" si="128"/>
        <v>0</v>
      </c>
      <c r="S53" s="276"/>
      <c r="T53" s="276">
        <f t="shared" si="128"/>
        <v>0</v>
      </c>
      <c r="U53" s="276">
        <f t="shared" si="128"/>
        <v>0</v>
      </c>
      <c r="V53" s="276">
        <f t="shared" si="128"/>
        <v>0</v>
      </c>
      <c r="W53" s="276">
        <f t="shared" si="128"/>
        <v>0</v>
      </c>
      <c r="X53" s="276">
        <f t="shared" si="128"/>
        <v>0</v>
      </c>
      <c r="Y53" s="276">
        <f t="shared" si="128"/>
        <v>0</v>
      </c>
      <c r="Z53" s="276">
        <f t="shared" si="128"/>
        <v>0</v>
      </c>
      <c r="AB53" s="276">
        <f t="shared" si="128"/>
        <v>0</v>
      </c>
      <c r="AC53" s="276">
        <f t="shared" si="128"/>
        <v>0</v>
      </c>
      <c r="AD53" s="276">
        <f t="shared" si="128"/>
        <v>0</v>
      </c>
      <c r="AE53" s="276">
        <f t="shared" si="128"/>
        <v>0</v>
      </c>
      <c r="AF53" s="276">
        <f t="shared" si="128"/>
        <v>0</v>
      </c>
      <c r="AG53" s="276">
        <f>AG18-SUM(AG19:AG26)-AG27</f>
        <v>0</v>
      </c>
      <c r="AH53" s="276">
        <f t="shared" si="128"/>
        <v>0</v>
      </c>
      <c r="AI53" s="276"/>
      <c r="AK53" s="276">
        <f>AK18-SUM(AK19:AK26)-AK27</f>
        <v>0</v>
      </c>
      <c r="AL53" s="276">
        <f t="shared" ref="AL53:AQ53" si="129">AL18-SUM(AL19:AL26)-AL27</f>
        <v>0</v>
      </c>
      <c r="AM53" s="276">
        <f t="shared" si="129"/>
        <v>0</v>
      </c>
      <c r="AN53" s="276">
        <f t="shared" si="129"/>
        <v>0</v>
      </c>
      <c r="AO53" s="276">
        <f t="shared" si="129"/>
        <v>0</v>
      </c>
      <c r="AP53" s="276">
        <f t="shared" si="129"/>
        <v>0</v>
      </c>
      <c r="AQ53" s="276">
        <f t="shared" si="129"/>
        <v>0</v>
      </c>
      <c r="AS53" s="276">
        <f>AS18-SUM(AS19:AS26)-AS27</f>
        <v>0</v>
      </c>
      <c r="AT53" s="276">
        <f t="shared" ref="AT53:AX53" si="130">AT18-SUM(AT19:AT26)-AT27</f>
        <v>0</v>
      </c>
      <c r="AU53" s="276">
        <f t="shared" si="130"/>
        <v>0</v>
      </c>
      <c r="AV53" s="276">
        <f t="shared" si="130"/>
        <v>0</v>
      </c>
      <c r="AW53" s="276">
        <f t="shared" si="130"/>
        <v>0</v>
      </c>
      <c r="AX53" s="276">
        <f t="shared" si="130"/>
        <v>0</v>
      </c>
      <c r="AY53" s="276">
        <f>AY18-SUM(AY19:AY26)-AY27</f>
        <v>0</v>
      </c>
      <c r="BA53" s="276">
        <f>BA18-SUM(BA19:BA26)-BA27</f>
        <v>0</v>
      </c>
      <c r="BB53" s="276">
        <f t="shared" ref="BB53:BF53" si="131">BB18-SUM(BB19:BB26)-BB27</f>
        <v>0</v>
      </c>
      <c r="BC53" s="276">
        <f t="shared" si="131"/>
        <v>0</v>
      </c>
      <c r="BD53" s="276">
        <f t="shared" si="131"/>
        <v>0</v>
      </c>
      <c r="BE53" s="276">
        <f t="shared" si="131"/>
        <v>0</v>
      </c>
      <c r="BF53" s="276">
        <f t="shared" si="131"/>
        <v>0</v>
      </c>
      <c r="BG53" s="276">
        <f>BG18-SUM(BG19:BG26)-BG27</f>
        <v>0</v>
      </c>
      <c r="BI53" s="276">
        <f>BI18-SUM(BI19:BI26)-BI27</f>
        <v>0</v>
      </c>
      <c r="BJ53" s="276">
        <f t="shared" ref="BJ53:BN53" si="132">BJ18-SUM(BJ19:BJ26)-BJ27</f>
        <v>0</v>
      </c>
      <c r="BK53" s="276">
        <f t="shared" si="132"/>
        <v>0</v>
      </c>
      <c r="BL53" s="276">
        <f t="shared" si="132"/>
        <v>0</v>
      </c>
      <c r="BM53" s="276">
        <f t="shared" si="132"/>
        <v>0</v>
      </c>
      <c r="BN53" s="276">
        <f t="shared" si="132"/>
        <v>0</v>
      </c>
      <c r="BO53" s="276">
        <f>BO18-SUM(BO19:BO26)-BO27</f>
        <v>0</v>
      </c>
      <c r="BQ53" s="276">
        <f>BQ18-SUM(BQ19:BQ26)-BQ27</f>
        <v>0</v>
      </c>
      <c r="BR53" s="276">
        <f t="shared" ref="BR53:BV53" si="133">BR18-SUM(BR19:BR26)-BR27</f>
        <v>0</v>
      </c>
      <c r="BS53" s="276">
        <f t="shared" si="133"/>
        <v>0</v>
      </c>
      <c r="BT53" s="276">
        <f t="shared" si="133"/>
        <v>0</v>
      </c>
      <c r="BU53" s="276">
        <f t="shared" si="133"/>
        <v>0</v>
      </c>
      <c r="BV53" s="276">
        <f t="shared" si="133"/>
        <v>0</v>
      </c>
      <c r="BW53" s="276">
        <f>BW18-SUM(BW19:BW26)-BW27</f>
        <v>0</v>
      </c>
      <c r="BY53" s="276">
        <f>BY18-SUM(BY19:BY26)-BY27</f>
        <v>0</v>
      </c>
      <c r="BZ53" s="276">
        <f t="shared" ref="BZ53:CD53" si="134">BZ18-SUM(BZ19:BZ26)-BZ27</f>
        <v>0</v>
      </c>
      <c r="CA53" s="276">
        <f t="shared" si="134"/>
        <v>0</v>
      </c>
      <c r="CB53" s="276">
        <f t="shared" si="134"/>
        <v>0</v>
      </c>
      <c r="CC53" s="276">
        <f t="shared" si="134"/>
        <v>0</v>
      </c>
      <c r="CD53" s="276">
        <f t="shared" si="134"/>
        <v>0</v>
      </c>
      <c r="CE53" s="276">
        <f>CE18-SUM(CE19:CE26)-CE27</f>
        <v>0</v>
      </c>
      <c r="CG53" s="276">
        <f>CG18-SUM(CG19:CG26)-CG27</f>
        <v>0</v>
      </c>
      <c r="CH53" s="276">
        <f t="shared" ref="CH53:CL53" si="135">CH18-SUM(CH19:CH26)-CH27</f>
        <v>0</v>
      </c>
      <c r="CI53" s="276">
        <f t="shared" si="135"/>
        <v>0</v>
      </c>
      <c r="CJ53" s="276">
        <f t="shared" si="135"/>
        <v>0</v>
      </c>
      <c r="CK53" s="276">
        <f t="shared" si="135"/>
        <v>0</v>
      </c>
      <c r="CL53" s="276">
        <f t="shared" si="135"/>
        <v>0</v>
      </c>
      <c r="CM53" s="276">
        <f>CM18-SUM(CM19:CM26)-CM27</f>
        <v>0</v>
      </c>
      <c r="CO53" s="276">
        <f>CO18-SUM(CO19:CO26)-CO27</f>
        <v>0</v>
      </c>
      <c r="CP53" s="276">
        <f t="shared" ref="CP53:CT53" si="136">CP18-SUM(CP19:CP26)-CP27</f>
        <v>0</v>
      </c>
      <c r="CQ53" s="276">
        <f t="shared" si="136"/>
        <v>0</v>
      </c>
      <c r="CR53" s="276">
        <f t="shared" si="136"/>
        <v>0</v>
      </c>
      <c r="CS53" s="276">
        <f t="shared" si="136"/>
        <v>0</v>
      </c>
      <c r="CT53" s="276">
        <f t="shared" si="136"/>
        <v>0</v>
      </c>
      <c r="CU53" s="276">
        <f>CU18-SUM(CU19:CU26)-CU27</f>
        <v>0</v>
      </c>
      <c r="CW53" s="276">
        <f>CW18-SUM(CW19:CW26)-CW27</f>
        <v>0</v>
      </c>
      <c r="CX53" s="276">
        <f t="shared" ref="CX53:DB53" si="137">CX18-SUM(CX19:CX26)-CX27</f>
        <v>0</v>
      </c>
      <c r="CY53" s="276">
        <f t="shared" si="137"/>
        <v>0</v>
      </c>
      <c r="CZ53" s="276">
        <f t="shared" si="137"/>
        <v>0</v>
      </c>
      <c r="DA53" s="276">
        <f t="shared" si="137"/>
        <v>0</v>
      </c>
      <c r="DB53" s="276">
        <f t="shared" si="137"/>
        <v>0</v>
      </c>
      <c r="DC53" s="276">
        <f>DC18-SUM(DC19:DC26)-DC27</f>
        <v>0</v>
      </c>
      <c r="DE53" s="276">
        <f>DE18-SUM(DE19:DE26)-DE27</f>
        <v>0</v>
      </c>
      <c r="DF53" s="276">
        <f t="shared" ref="DF53:DJ53" si="138">DF18-SUM(DF19:DF26)-DF27</f>
        <v>0</v>
      </c>
      <c r="DG53" s="276">
        <f t="shared" si="138"/>
        <v>0</v>
      </c>
      <c r="DH53" s="276">
        <f t="shared" si="138"/>
        <v>0</v>
      </c>
      <c r="DI53" s="276">
        <f t="shared" si="138"/>
        <v>0</v>
      </c>
      <c r="DJ53" s="276">
        <f t="shared" si="138"/>
        <v>0</v>
      </c>
      <c r="DK53" s="276">
        <f>DK18-SUM(DK19:DK26)-DK27</f>
        <v>0</v>
      </c>
      <c r="DM53" s="276">
        <f>DM18-SUM(DM19:DM26)-DM27</f>
        <v>0</v>
      </c>
      <c r="DN53" s="276">
        <f t="shared" ref="DN53:DR53" si="139">DN18-SUM(DN19:DN26)-DN27</f>
        <v>0</v>
      </c>
      <c r="DO53" s="276">
        <f t="shared" si="139"/>
        <v>0</v>
      </c>
      <c r="DP53" s="276">
        <f t="shared" si="139"/>
        <v>0</v>
      </c>
      <c r="DQ53" s="276">
        <f t="shared" si="139"/>
        <v>0</v>
      </c>
      <c r="DR53" s="276">
        <f t="shared" si="139"/>
        <v>0</v>
      </c>
      <c r="DS53" s="276">
        <f>DS18-SUM(DS19:DS26)-DS27</f>
        <v>0</v>
      </c>
      <c r="DU53" s="276">
        <f>DU18-SUM(DU19:DU26)-DU27</f>
        <v>0</v>
      </c>
      <c r="DV53" s="276">
        <f t="shared" ref="DV53:DZ53" si="140">DV18-SUM(DV19:DV26)-DV27</f>
        <v>0</v>
      </c>
      <c r="DW53" s="276">
        <f t="shared" si="140"/>
        <v>0</v>
      </c>
      <c r="DX53" s="276">
        <f t="shared" si="140"/>
        <v>0</v>
      </c>
      <c r="DY53" s="276">
        <f t="shared" si="140"/>
        <v>0</v>
      </c>
      <c r="DZ53" s="276">
        <f t="shared" si="140"/>
        <v>0</v>
      </c>
      <c r="EA53" s="276">
        <f>EA18-SUM(EA19:EA26)-EA27</f>
        <v>0</v>
      </c>
      <c r="EC53" s="276">
        <f>EC18-SUM(EC19:EC26)-EC27</f>
        <v>0</v>
      </c>
      <c r="ED53" s="276">
        <f t="shared" ref="ED53:EH53" si="141">ED18-SUM(ED19:ED26)-ED27</f>
        <v>0</v>
      </c>
      <c r="EE53" s="276">
        <f t="shared" si="141"/>
        <v>0</v>
      </c>
      <c r="EF53" s="276">
        <f t="shared" si="141"/>
        <v>0</v>
      </c>
      <c r="EG53" s="276">
        <f t="shared" si="141"/>
        <v>0</v>
      </c>
      <c r="EH53" s="276">
        <f t="shared" si="141"/>
        <v>0</v>
      </c>
      <c r="EI53" s="276">
        <f>EI18-SUM(EI19:EI26)-EI27</f>
        <v>0</v>
      </c>
      <c r="EK53" s="276">
        <f>EK18-SUM(EK19:EK26)-EK27</f>
        <v>0</v>
      </c>
      <c r="EL53" s="276">
        <f t="shared" ref="EL53:EP53" si="142">EL18-SUM(EL19:EL26)-EL27</f>
        <v>0</v>
      </c>
      <c r="EM53" s="276">
        <f t="shared" si="142"/>
        <v>0</v>
      </c>
      <c r="EN53" s="276">
        <f t="shared" si="142"/>
        <v>0</v>
      </c>
      <c r="EO53" s="276">
        <f t="shared" si="142"/>
        <v>0</v>
      </c>
      <c r="EP53" s="276">
        <f t="shared" si="142"/>
        <v>0</v>
      </c>
      <c r="EQ53" s="276">
        <f>EQ18-SUM(EQ19:EQ26)-EQ27</f>
        <v>0</v>
      </c>
      <c r="ES53" s="276">
        <f>ES18-SUM(ES19:ES26)-ES27</f>
        <v>0</v>
      </c>
      <c r="ET53" s="276">
        <f t="shared" ref="ET53:EX53" si="143">ET18-SUM(ET19:ET26)-ET27</f>
        <v>0</v>
      </c>
      <c r="EU53" s="276">
        <f t="shared" si="143"/>
        <v>0</v>
      </c>
      <c r="EV53" s="276">
        <f t="shared" si="143"/>
        <v>0</v>
      </c>
      <c r="EW53" s="276">
        <f t="shared" si="143"/>
        <v>0</v>
      </c>
      <c r="EX53" s="276">
        <f t="shared" si="143"/>
        <v>0</v>
      </c>
      <c r="EY53" s="276">
        <f>EY18-SUM(EY19:EY26)-EY27</f>
        <v>0</v>
      </c>
      <c r="FA53" s="276">
        <f>FA18-SUM(FA19:FA26)-FA27</f>
        <v>0</v>
      </c>
      <c r="FB53" s="276">
        <f t="shared" ref="FB53:FE53" si="144">FB18-SUM(FB19:FB26)-FB27</f>
        <v>0</v>
      </c>
      <c r="FC53" s="276">
        <f t="shared" si="144"/>
        <v>0</v>
      </c>
      <c r="FD53" s="276">
        <f t="shared" si="144"/>
        <v>0</v>
      </c>
      <c r="FE53" s="276">
        <f t="shared" si="144"/>
        <v>0</v>
      </c>
    </row>
    <row r="54" spans="1:161" outlineLevel="1" x14ac:dyDescent="0.25">
      <c r="A54" s="276" t="s">
        <v>39</v>
      </c>
      <c r="B54" s="276">
        <f t="shared" ref="B54" si="145">B41+B42+B43-B44</f>
        <v>0</v>
      </c>
      <c r="C54" s="276"/>
      <c r="D54" s="276">
        <f t="shared" ref="D54:J54" si="146">D41+D42+D43-D44</f>
        <v>0</v>
      </c>
      <c r="E54" s="276">
        <f t="shared" si="146"/>
        <v>0</v>
      </c>
      <c r="F54" s="276">
        <f t="shared" si="146"/>
        <v>0</v>
      </c>
      <c r="G54" s="276">
        <f t="shared" si="146"/>
        <v>0</v>
      </c>
      <c r="H54" s="276">
        <f t="shared" si="146"/>
        <v>0</v>
      </c>
      <c r="I54" s="276">
        <f t="shared" si="146"/>
        <v>0</v>
      </c>
      <c r="J54" s="276">
        <f t="shared" si="146"/>
        <v>0</v>
      </c>
      <c r="K54" s="276"/>
      <c r="L54" s="276">
        <f t="shared" ref="L54:R54" si="147">L41+L42+L43-L44</f>
        <v>0</v>
      </c>
      <c r="M54" s="276">
        <f t="shared" si="147"/>
        <v>0</v>
      </c>
      <c r="N54" s="276">
        <f t="shared" si="147"/>
        <v>0</v>
      </c>
      <c r="O54" s="276">
        <f t="shared" si="147"/>
        <v>0</v>
      </c>
      <c r="P54" s="276">
        <f t="shared" si="147"/>
        <v>0</v>
      </c>
      <c r="Q54" s="276">
        <f t="shared" si="147"/>
        <v>0</v>
      </c>
      <c r="R54" s="276">
        <f t="shared" si="147"/>
        <v>0</v>
      </c>
      <c r="S54" s="276"/>
      <c r="T54" s="276">
        <f t="shared" ref="T54:Z54" si="148">T41+T42+T43-T44</f>
        <v>0</v>
      </c>
      <c r="U54" s="276">
        <f t="shared" si="148"/>
        <v>0</v>
      </c>
      <c r="V54" s="276">
        <f t="shared" si="148"/>
        <v>0</v>
      </c>
      <c r="W54" s="276">
        <f t="shared" si="148"/>
        <v>0</v>
      </c>
      <c r="X54" s="276">
        <f t="shared" si="148"/>
        <v>0</v>
      </c>
      <c r="Y54" s="276">
        <f t="shared" si="148"/>
        <v>0</v>
      </c>
      <c r="Z54" s="276">
        <f t="shared" si="148"/>
        <v>0</v>
      </c>
      <c r="AB54" s="276">
        <f t="shared" ref="AB54:AK54" si="149">AB41+AB42+AB43-AB44</f>
        <v>0</v>
      </c>
      <c r="AC54" s="276">
        <f t="shared" ref="AC54:AD54" si="150">AC41+AC42+AC43-AC44</f>
        <v>0</v>
      </c>
      <c r="AD54" s="276">
        <f t="shared" si="150"/>
        <v>0</v>
      </c>
      <c r="AE54" s="276">
        <f t="shared" ref="AE54:AF54" si="151">AE41+AE42+AE43-AE44</f>
        <v>0</v>
      </c>
      <c r="AF54" s="276">
        <f t="shared" si="151"/>
        <v>0</v>
      </c>
      <c r="AG54" s="276">
        <f t="shared" ref="AG54:AH54" si="152">AG41+AG42+AG43-AG44</f>
        <v>0</v>
      </c>
      <c r="AH54" s="276">
        <f t="shared" si="152"/>
        <v>0</v>
      </c>
      <c r="AI54" s="276"/>
      <c r="AK54" s="276">
        <f t="shared" si="149"/>
        <v>0</v>
      </c>
      <c r="AL54" s="276">
        <f t="shared" ref="AL54:AQ54" si="153">AL41+AL42+AL43-AL44</f>
        <v>0</v>
      </c>
      <c r="AM54" s="276">
        <f t="shared" si="153"/>
        <v>0</v>
      </c>
      <c r="AN54" s="276">
        <f t="shared" si="153"/>
        <v>0</v>
      </c>
      <c r="AO54" s="276">
        <f t="shared" si="153"/>
        <v>0</v>
      </c>
      <c r="AP54" s="276">
        <f t="shared" si="153"/>
        <v>0</v>
      </c>
      <c r="AQ54" s="276">
        <f t="shared" si="153"/>
        <v>0</v>
      </c>
      <c r="AS54" s="276">
        <f t="shared" ref="AS54:AY54" si="154">AS41+AS42+AS43-AS44</f>
        <v>0</v>
      </c>
      <c r="AT54" s="276">
        <f t="shared" si="154"/>
        <v>0</v>
      </c>
      <c r="AU54" s="276">
        <f t="shared" si="154"/>
        <v>0</v>
      </c>
      <c r="AV54" s="276">
        <f t="shared" si="154"/>
        <v>0</v>
      </c>
      <c r="AW54" s="276">
        <f t="shared" si="154"/>
        <v>0</v>
      </c>
      <c r="AX54" s="276">
        <f t="shared" si="154"/>
        <v>0</v>
      </c>
      <c r="AY54" s="276">
        <f t="shared" si="154"/>
        <v>0</v>
      </c>
      <c r="BA54" s="276">
        <f t="shared" ref="BA54:BG54" si="155">BA41+BA42+BA43-BA44</f>
        <v>0</v>
      </c>
      <c r="BB54" s="276">
        <f t="shared" si="155"/>
        <v>0</v>
      </c>
      <c r="BC54" s="276">
        <f t="shared" si="155"/>
        <v>0</v>
      </c>
      <c r="BD54" s="276">
        <f t="shared" si="155"/>
        <v>0</v>
      </c>
      <c r="BE54" s="276">
        <f t="shared" si="155"/>
        <v>0</v>
      </c>
      <c r="BF54" s="276">
        <f t="shared" si="155"/>
        <v>0</v>
      </c>
      <c r="BG54" s="276">
        <f t="shared" si="155"/>
        <v>0</v>
      </c>
      <c r="BI54" s="276">
        <f t="shared" ref="BI54:BO54" si="156">BI41+BI42+BI43-BI44</f>
        <v>0</v>
      </c>
      <c r="BJ54" s="276">
        <f t="shared" si="156"/>
        <v>0</v>
      </c>
      <c r="BK54" s="276">
        <f t="shared" si="156"/>
        <v>0</v>
      </c>
      <c r="BL54" s="276">
        <f t="shared" si="156"/>
        <v>0</v>
      </c>
      <c r="BM54" s="276">
        <f t="shared" si="156"/>
        <v>0</v>
      </c>
      <c r="BN54" s="276">
        <f t="shared" si="156"/>
        <v>0</v>
      </c>
      <c r="BO54" s="276">
        <f t="shared" si="156"/>
        <v>0</v>
      </c>
      <c r="BQ54" s="276">
        <f t="shared" ref="BQ54:BW54" si="157">BQ41+BQ42+BQ43-BQ44</f>
        <v>0</v>
      </c>
      <c r="BR54" s="276">
        <f t="shared" si="157"/>
        <v>0</v>
      </c>
      <c r="BS54" s="276">
        <f t="shared" si="157"/>
        <v>0</v>
      </c>
      <c r="BT54" s="276">
        <f t="shared" si="157"/>
        <v>0</v>
      </c>
      <c r="BU54" s="276">
        <f t="shared" si="157"/>
        <v>0</v>
      </c>
      <c r="BV54" s="276">
        <f t="shared" si="157"/>
        <v>0</v>
      </c>
      <c r="BW54" s="276">
        <f t="shared" si="157"/>
        <v>0</v>
      </c>
      <c r="BY54" s="276">
        <f t="shared" ref="BY54:CE54" si="158">BY41+BY42+BY43-BY44</f>
        <v>0</v>
      </c>
      <c r="BZ54" s="276">
        <f t="shared" si="158"/>
        <v>0</v>
      </c>
      <c r="CA54" s="276">
        <f t="shared" si="158"/>
        <v>0</v>
      </c>
      <c r="CB54" s="276">
        <f t="shared" si="158"/>
        <v>0</v>
      </c>
      <c r="CC54" s="276">
        <f t="shared" si="158"/>
        <v>0</v>
      </c>
      <c r="CD54" s="276">
        <f t="shared" si="158"/>
        <v>0</v>
      </c>
      <c r="CE54" s="276">
        <f t="shared" si="158"/>
        <v>0</v>
      </c>
      <c r="CG54" s="276">
        <f t="shared" ref="CG54:CM54" si="159">CG41+CG42+CG43-CG44</f>
        <v>0</v>
      </c>
      <c r="CH54" s="276">
        <f t="shared" si="159"/>
        <v>0</v>
      </c>
      <c r="CI54" s="276">
        <f t="shared" si="159"/>
        <v>0</v>
      </c>
      <c r="CJ54" s="276">
        <f t="shared" si="159"/>
        <v>0</v>
      </c>
      <c r="CK54" s="276">
        <f t="shared" si="159"/>
        <v>0</v>
      </c>
      <c r="CL54" s="276">
        <f t="shared" si="159"/>
        <v>0</v>
      </c>
      <c r="CM54" s="276">
        <f t="shared" si="159"/>
        <v>0</v>
      </c>
      <c r="CO54" s="276">
        <f t="shared" ref="CO54:CU54" si="160">CO41+CO42+CO43-CO44</f>
        <v>0</v>
      </c>
      <c r="CP54" s="276">
        <f t="shared" si="160"/>
        <v>0</v>
      </c>
      <c r="CQ54" s="276">
        <f t="shared" si="160"/>
        <v>0</v>
      </c>
      <c r="CR54" s="276">
        <f t="shared" si="160"/>
        <v>0</v>
      </c>
      <c r="CS54" s="276">
        <f t="shared" si="160"/>
        <v>0</v>
      </c>
      <c r="CT54" s="276">
        <f t="shared" si="160"/>
        <v>0</v>
      </c>
      <c r="CU54" s="276">
        <f t="shared" si="160"/>
        <v>0</v>
      </c>
      <c r="CW54" s="276">
        <f t="shared" ref="CW54:DC54" si="161">CW41+CW42+CW43-CW44</f>
        <v>0</v>
      </c>
      <c r="CX54" s="276">
        <f t="shared" si="161"/>
        <v>0</v>
      </c>
      <c r="CY54" s="276">
        <f t="shared" si="161"/>
        <v>0</v>
      </c>
      <c r="CZ54" s="276">
        <f t="shared" si="161"/>
        <v>0</v>
      </c>
      <c r="DA54" s="276">
        <f t="shared" si="161"/>
        <v>0</v>
      </c>
      <c r="DB54" s="276">
        <f t="shared" si="161"/>
        <v>0</v>
      </c>
      <c r="DC54" s="276">
        <f t="shared" si="161"/>
        <v>0</v>
      </c>
      <c r="DE54" s="276">
        <f t="shared" ref="DE54:DK54" si="162">DE41+DE42+DE43-DE44</f>
        <v>0</v>
      </c>
      <c r="DF54" s="276">
        <f t="shared" si="162"/>
        <v>0</v>
      </c>
      <c r="DG54" s="276">
        <f t="shared" si="162"/>
        <v>0</v>
      </c>
      <c r="DH54" s="276">
        <f t="shared" si="162"/>
        <v>0</v>
      </c>
      <c r="DI54" s="276">
        <f t="shared" si="162"/>
        <v>0</v>
      </c>
      <c r="DJ54" s="276">
        <f t="shared" si="162"/>
        <v>0</v>
      </c>
      <c r="DK54" s="276">
        <f t="shared" si="162"/>
        <v>0</v>
      </c>
      <c r="DM54" s="276">
        <f t="shared" ref="DM54:DS54" si="163">DM41+DM42+DM43-DM44</f>
        <v>0</v>
      </c>
      <c r="DN54" s="276">
        <f t="shared" si="163"/>
        <v>0</v>
      </c>
      <c r="DO54" s="276">
        <f t="shared" si="163"/>
        <v>0</v>
      </c>
      <c r="DP54" s="276">
        <f t="shared" si="163"/>
        <v>0</v>
      </c>
      <c r="DQ54" s="276">
        <f t="shared" si="163"/>
        <v>0</v>
      </c>
      <c r="DR54" s="276">
        <f t="shared" si="163"/>
        <v>0</v>
      </c>
      <c r="DS54" s="276">
        <f t="shared" si="163"/>
        <v>0</v>
      </c>
      <c r="DU54" s="276">
        <f t="shared" ref="DU54:EA54" si="164">DU41+DU42+DU43-DU44</f>
        <v>0</v>
      </c>
      <c r="DV54" s="276">
        <f t="shared" si="164"/>
        <v>0</v>
      </c>
      <c r="DW54" s="276">
        <f t="shared" si="164"/>
        <v>0</v>
      </c>
      <c r="DX54" s="276">
        <f t="shared" si="164"/>
        <v>0</v>
      </c>
      <c r="DY54" s="276">
        <f t="shared" si="164"/>
        <v>0</v>
      </c>
      <c r="DZ54" s="276">
        <f t="shared" si="164"/>
        <v>0</v>
      </c>
      <c r="EA54" s="276">
        <f t="shared" si="164"/>
        <v>0</v>
      </c>
      <c r="EC54" s="276">
        <f t="shared" ref="EC54:EI54" si="165">EC41+EC42+EC43-EC44</f>
        <v>0</v>
      </c>
      <c r="ED54" s="276">
        <f t="shared" si="165"/>
        <v>0</v>
      </c>
      <c r="EE54" s="276">
        <f t="shared" si="165"/>
        <v>0</v>
      </c>
      <c r="EF54" s="276">
        <f t="shared" si="165"/>
        <v>0</v>
      </c>
      <c r="EG54" s="276">
        <f t="shared" si="165"/>
        <v>0</v>
      </c>
      <c r="EH54" s="276">
        <f t="shared" si="165"/>
        <v>0</v>
      </c>
      <c r="EI54" s="276">
        <f t="shared" si="165"/>
        <v>0</v>
      </c>
      <c r="EK54" s="276">
        <f t="shared" ref="EK54:EQ54" si="166">EK41+EK42+EK43-EK44</f>
        <v>0</v>
      </c>
      <c r="EL54" s="276">
        <f t="shared" si="166"/>
        <v>0</v>
      </c>
      <c r="EM54" s="276">
        <f t="shared" si="166"/>
        <v>0</v>
      </c>
      <c r="EN54" s="276">
        <f t="shared" si="166"/>
        <v>0</v>
      </c>
      <c r="EO54" s="276">
        <f t="shared" si="166"/>
        <v>0</v>
      </c>
      <c r="EP54" s="276">
        <f t="shared" si="166"/>
        <v>0</v>
      </c>
      <c r="EQ54" s="276">
        <f t="shared" si="166"/>
        <v>0</v>
      </c>
      <c r="ES54" s="276">
        <f t="shared" ref="ES54:EY54" si="167">ES41+ES42+ES43-ES44</f>
        <v>0</v>
      </c>
      <c r="ET54" s="276">
        <f t="shared" si="167"/>
        <v>0</v>
      </c>
      <c r="EU54" s="276">
        <f t="shared" si="167"/>
        <v>0</v>
      </c>
      <c r="EV54" s="276">
        <f t="shared" si="167"/>
        <v>0</v>
      </c>
      <c r="EW54" s="276">
        <f t="shared" si="167"/>
        <v>0</v>
      </c>
      <c r="EX54" s="276">
        <f t="shared" si="167"/>
        <v>0</v>
      </c>
      <c r="EY54" s="276">
        <f t="shared" si="167"/>
        <v>0</v>
      </c>
      <c r="FA54" s="276">
        <f t="shared" ref="FA54:FE54" si="168">FA41+FA42+FA43-FA44</f>
        <v>0</v>
      </c>
      <c r="FB54" s="276">
        <f t="shared" si="168"/>
        <v>0</v>
      </c>
      <c r="FC54" s="276">
        <f t="shared" si="168"/>
        <v>0</v>
      </c>
      <c r="FD54" s="276">
        <f t="shared" si="168"/>
        <v>0</v>
      </c>
      <c r="FE54" s="276">
        <f t="shared" si="168"/>
        <v>0</v>
      </c>
    </row>
    <row r="55" spans="1:161" outlineLevel="1" x14ac:dyDescent="0.25">
      <c r="A55" s="276" t="s">
        <v>40</v>
      </c>
      <c r="B55" s="276">
        <f>B39-B44-B46-B48</f>
        <v>3.4200958907604218E-5</v>
      </c>
      <c r="C55" s="276"/>
      <c r="D55" s="276">
        <f>D39-D44-D46-D48</f>
        <v>0</v>
      </c>
      <c r="E55" s="276">
        <f t="shared" ref="E55:I55" si="169">E39-E44-E46-E48</f>
        <v>0</v>
      </c>
      <c r="F55" s="276">
        <f t="shared" si="169"/>
        <v>0</v>
      </c>
      <c r="G55" s="276">
        <f t="shared" si="169"/>
        <v>0</v>
      </c>
      <c r="H55" s="276">
        <f>H39-H44-H46-H48</f>
        <v>0</v>
      </c>
      <c r="I55" s="276">
        <f t="shared" si="169"/>
        <v>0</v>
      </c>
      <c r="J55" s="276">
        <f>J39-J44-J46-J48</f>
        <v>0</v>
      </c>
      <c r="K55" s="276"/>
      <c r="L55" s="276">
        <f>L39-L44-L46-L48</f>
        <v>302387</v>
      </c>
      <c r="M55" s="276">
        <f t="shared" ref="M55:R55" si="170">M39-M44-M46-M48</f>
        <v>0</v>
      </c>
      <c r="N55" s="276">
        <f t="shared" si="170"/>
        <v>338228</v>
      </c>
      <c r="O55" s="276">
        <f t="shared" si="170"/>
        <v>0</v>
      </c>
      <c r="P55" s="276">
        <f t="shared" si="170"/>
        <v>377139</v>
      </c>
      <c r="Q55" s="276">
        <f t="shared" si="170"/>
        <v>0</v>
      </c>
      <c r="R55" s="276">
        <f t="shared" si="170"/>
        <v>414317</v>
      </c>
      <c r="S55" s="276"/>
      <c r="T55" s="276">
        <f t="shared" ref="T55:Z55" si="171">T39-T44-T46-T48</f>
        <v>190568</v>
      </c>
      <c r="U55" s="276">
        <f t="shared" si="171"/>
        <v>0</v>
      </c>
      <c r="V55" s="276">
        <f t="shared" si="171"/>
        <v>209665</v>
      </c>
      <c r="W55" s="276">
        <f t="shared" si="171"/>
        <v>0</v>
      </c>
      <c r="X55" s="276">
        <f t="shared" si="171"/>
        <v>239470</v>
      </c>
      <c r="Y55" s="276">
        <f t="shared" si="171"/>
        <v>0</v>
      </c>
      <c r="Z55" s="276">
        <f t="shared" si="171"/>
        <v>265866</v>
      </c>
      <c r="AB55" s="276">
        <f t="shared" ref="AB55:AK55" si="172">AB39-AB44-AB46-AB48</f>
        <v>126617</v>
      </c>
      <c r="AC55" s="276">
        <f t="shared" ref="AC55:AD55" si="173">AC39-AC44-AC46-AC48</f>
        <v>137348</v>
      </c>
      <c r="AD55" s="276">
        <f t="shared" si="173"/>
        <v>0</v>
      </c>
      <c r="AE55" s="276">
        <f t="shared" ref="AE55:AF55" si="174">AE39-AE44-AE46-AE48</f>
        <v>0</v>
      </c>
      <c r="AF55" s="276">
        <f t="shared" si="174"/>
        <v>149315</v>
      </c>
      <c r="AG55" s="276">
        <f t="shared" ref="AG55:AH55" si="175">AG39-AG44-AG46-AG48</f>
        <v>0</v>
      </c>
      <c r="AH55" s="276">
        <f t="shared" si="175"/>
        <v>173682</v>
      </c>
      <c r="AI55" s="276"/>
      <c r="AK55" s="276">
        <f t="shared" si="172"/>
        <v>0</v>
      </c>
      <c r="AL55" s="276">
        <f t="shared" ref="AL55:AQ55" si="176">AL39-AL44-AL46-AL48</f>
        <v>0</v>
      </c>
      <c r="AM55" s="276">
        <f t="shared" si="176"/>
        <v>0</v>
      </c>
      <c r="AN55" s="276">
        <f t="shared" si="176"/>
        <v>0</v>
      </c>
      <c r="AO55" s="276">
        <f t="shared" si="176"/>
        <v>0</v>
      </c>
      <c r="AP55" s="276">
        <f t="shared" si="176"/>
        <v>0</v>
      </c>
      <c r="AQ55" s="276">
        <f t="shared" si="176"/>
        <v>0</v>
      </c>
      <c r="AS55" s="276">
        <f t="shared" ref="AS55:AY55" si="177">AS39-AS44-AS46-AS48</f>
        <v>0</v>
      </c>
      <c r="AT55" s="276">
        <f t="shared" si="177"/>
        <v>0</v>
      </c>
      <c r="AU55" s="276">
        <f t="shared" si="177"/>
        <v>0</v>
      </c>
      <c r="AV55" s="276">
        <f t="shared" si="177"/>
        <v>0</v>
      </c>
      <c r="AW55" s="276">
        <f t="shared" si="177"/>
        <v>0</v>
      </c>
      <c r="AX55" s="276">
        <f t="shared" si="177"/>
        <v>0</v>
      </c>
      <c r="AY55" s="276">
        <f t="shared" si="177"/>
        <v>0</v>
      </c>
      <c r="BA55" s="276">
        <f t="shared" ref="BA55:BG55" si="178">BA39-BA44-BA46-BA48</f>
        <v>0</v>
      </c>
      <c r="BB55" s="276">
        <f t="shared" si="178"/>
        <v>0</v>
      </c>
      <c r="BC55" s="276">
        <f t="shared" si="178"/>
        <v>0</v>
      </c>
      <c r="BD55" s="276">
        <f t="shared" si="178"/>
        <v>0</v>
      </c>
      <c r="BE55" s="276">
        <f t="shared" si="178"/>
        <v>0</v>
      </c>
      <c r="BF55" s="276">
        <f t="shared" si="178"/>
        <v>0</v>
      </c>
      <c r="BG55" s="276">
        <f t="shared" si="178"/>
        <v>0</v>
      </c>
      <c r="BI55" s="276">
        <f t="shared" ref="BI55:BO55" si="179">BI39-BI44-BI46-BI48</f>
        <v>0</v>
      </c>
      <c r="BJ55" s="276">
        <f t="shared" si="179"/>
        <v>0</v>
      </c>
      <c r="BK55" s="276">
        <f t="shared" si="179"/>
        <v>0</v>
      </c>
      <c r="BL55" s="276">
        <f t="shared" si="179"/>
        <v>0</v>
      </c>
      <c r="BM55" s="276">
        <f t="shared" si="179"/>
        <v>0</v>
      </c>
      <c r="BN55" s="276">
        <f t="shared" si="179"/>
        <v>0</v>
      </c>
      <c r="BO55" s="276">
        <f t="shared" si="179"/>
        <v>0</v>
      </c>
      <c r="BQ55" s="276">
        <f t="shared" ref="BQ55:BW55" si="180">BQ39-BQ44-BQ46-BQ48</f>
        <v>0</v>
      </c>
      <c r="BR55" s="276">
        <f t="shared" si="180"/>
        <v>0</v>
      </c>
      <c r="BS55" s="276">
        <f t="shared" si="180"/>
        <v>0</v>
      </c>
      <c r="BT55" s="276">
        <f t="shared" si="180"/>
        <v>0</v>
      </c>
      <c r="BU55" s="276">
        <f t="shared" si="180"/>
        <v>0</v>
      </c>
      <c r="BV55" s="276">
        <f t="shared" si="180"/>
        <v>0</v>
      </c>
      <c r="BW55" s="276">
        <f t="shared" si="180"/>
        <v>0</v>
      </c>
      <c r="BY55" s="276">
        <f t="shared" ref="BY55:CE55" si="181">BY39-BY44-BY46-BY48</f>
        <v>0</v>
      </c>
      <c r="BZ55" s="276">
        <f t="shared" si="181"/>
        <v>0</v>
      </c>
      <c r="CA55" s="276">
        <f t="shared" si="181"/>
        <v>0</v>
      </c>
      <c r="CB55" s="276">
        <f t="shared" si="181"/>
        <v>0</v>
      </c>
      <c r="CC55" s="276">
        <f t="shared" si="181"/>
        <v>0</v>
      </c>
      <c r="CD55" s="276">
        <f t="shared" si="181"/>
        <v>0</v>
      </c>
      <c r="CE55" s="276">
        <f t="shared" si="181"/>
        <v>0</v>
      </c>
      <c r="CG55" s="276">
        <f t="shared" ref="CG55:CM55" si="182">CG39-CG44-CG46-CG48</f>
        <v>0</v>
      </c>
      <c r="CH55" s="276">
        <f t="shared" si="182"/>
        <v>0</v>
      </c>
      <c r="CI55" s="276">
        <f t="shared" si="182"/>
        <v>0</v>
      </c>
      <c r="CJ55" s="276">
        <f t="shared" si="182"/>
        <v>0</v>
      </c>
      <c r="CK55" s="276">
        <f t="shared" si="182"/>
        <v>0</v>
      </c>
      <c r="CL55" s="276">
        <f t="shared" si="182"/>
        <v>0</v>
      </c>
      <c r="CM55" s="276">
        <f t="shared" si="182"/>
        <v>0</v>
      </c>
      <c r="CO55" s="276">
        <f t="shared" ref="CO55:CU55" si="183">CO39-CO44-CO46-CO48</f>
        <v>0</v>
      </c>
      <c r="CP55" s="276">
        <f t="shared" si="183"/>
        <v>0</v>
      </c>
      <c r="CQ55" s="276">
        <f t="shared" si="183"/>
        <v>0</v>
      </c>
      <c r="CR55" s="276">
        <f t="shared" si="183"/>
        <v>0</v>
      </c>
      <c r="CS55" s="276">
        <f t="shared" si="183"/>
        <v>0</v>
      </c>
      <c r="CT55" s="276">
        <f t="shared" si="183"/>
        <v>0</v>
      </c>
      <c r="CU55" s="276">
        <f t="shared" si="183"/>
        <v>0</v>
      </c>
      <c r="CW55" s="276">
        <f t="shared" ref="CW55:DC55" si="184">CW39-CW44-CW46-CW48</f>
        <v>0</v>
      </c>
      <c r="CX55" s="276">
        <f t="shared" si="184"/>
        <v>0</v>
      </c>
      <c r="CY55" s="276">
        <f t="shared" si="184"/>
        <v>0</v>
      </c>
      <c r="CZ55" s="276">
        <f t="shared" si="184"/>
        <v>0</v>
      </c>
      <c r="DA55" s="276">
        <f t="shared" si="184"/>
        <v>0</v>
      </c>
      <c r="DB55" s="276">
        <f t="shared" si="184"/>
        <v>0</v>
      </c>
      <c r="DC55" s="276">
        <f t="shared" si="184"/>
        <v>0</v>
      </c>
      <c r="DE55" s="276">
        <f t="shared" ref="DE55:DK55" si="185">DE39-DE44-DE46-DE48</f>
        <v>0</v>
      </c>
      <c r="DF55" s="276">
        <f t="shared" si="185"/>
        <v>0</v>
      </c>
      <c r="DG55" s="276">
        <f t="shared" si="185"/>
        <v>0</v>
      </c>
      <c r="DH55" s="276">
        <f t="shared" si="185"/>
        <v>0</v>
      </c>
      <c r="DI55" s="276">
        <f t="shared" si="185"/>
        <v>0</v>
      </c>
      <c r="DJ55" s="276">
        <f t="shared" si="185"/>
        <v>0</v>
      </c>
      <c r="DK55" s="276">
        <f t="shared" si="185"/>
        <v>0</v>
      </c>
      <c r="DM55" s="276">
        <f t="shared" ref="DM55:DS55" si="186">DM39-DM44-DM46-DM48</f>
        <v>0</v>
      </c>
      <c r="DN55" s="276">
        <f t="shared" si="186"/>
        <v>0</v>
      </c>
      <c r="DO55" s="276">
        <f t="shared" si="186"/>
        <v>0</v>
      </c>
      <c r="DP55" s="276">
        <f t="shared" si="186"/>
        <v>0</v>
      </c>
      <c r="DQ55" s="276">
        <f t="shared" si="186"/>
        <v>0</v>
      </c>
      <c r="DR55" s="276">
        <f t="shared" si="186"/>
        <v>0</v>
      </c>
      <c r="DS55" s="276">
        <f t="shared" si="186"/>
        <v>0</v>
      </c>
      <c r="DU55" s="276">
        <f t="shared" ref="DU55:EA55" si="187">DU39-DU44-DU46-DU48</f>
        <v>0</v>
      </c>
      <c r="DV55" s="276">
        <f t="shared" si="187"/>
        <v>0</v>
      </c>
      <c r="DW55" s="276">
        <f t="shared" si="187"/>
        <v>0</v>
      </c>
      <c r="DX55" s="276">
        <f t="shared" si="187"/>
        <v>0</v>
      </c>
      <c r="DY55" s="276">
        <f t="shared" si="187"/>
        <v>0</v>
      </c>
      <c r="DZ55" s="276">
        <f t="shared" si="187"/>
        <v>0</v>
      </c>
      <c r="EA55" s="276">
        <f t="shared" si="187"/>
        <v>0</v>
      </c>
      <c r="EC55" s="276">
        <f t="shared" ref="EC55:EI55" si="188">EC39-EC44-EC46-EC48</f>
        <v>0</v>
      </c>
      <c r="ED55" s="276">
        <f t="shared" si="188"/>
        <v>0</v>
      </c>
      <c r="EE55" s="276">
        <f t="shared" si="188"/>
        <v>0</v>
      </c>
      <c r="EF55" s="276">
        <f t="shared" si="188"/>
        <v>0</v>
      </c>
      <c r="EG55" s="276">
        <f t="shared" si="188"/>
        <v>0</v>
      </c>
      <c r="EH55" s="276">
        <f t="shared" si="188"/>
        <v>0</v>
      </c>
      <c r="EI55" s="276">
        <f t="shared" si="188"/>
        <v>0</v>
      </c>
      <c r="EK55" s="276">
        <f t="shared" ref="EK55:EQ55" si="189">EK39-EK44-EK46-EK48</f>
        <v>0</v>
      </c>
      <c r="EL55" s="276">
        <f t="shared" si="189"/>
        <v>0</v>
      </c>
      <c r="EM55" s="276">
        <f t="shared" si="189"/>
        <v>0</v>
      </c>
      <c r="EN55" s="276">
        <f t="shared" si="189"/>
        <v>0</v>
      </c>
      <c r="EO55" s="276">
        <f t="shared" si="189"/>
        <v>0</v>
      </c>
      <c r="EP55" s="276">
        <f t="shared" si="189"/>
        <v>0</v>
      </c>
      <c r="EQ55" s="276">
        <f t="shared" si="189"/>
        <v>0</v>
      </c>
      <c r="ES55" s="276">
        <f t="shared" ref="ES55:EY55" si="190">ES39-ES44-ES46-ES48</f>
        <v>0</v>
      </c>
      <c r="ET55" s="276">
        <f t="shared" si="190"/>
        <v>0</v>
      </c>
      <c r="EU55" s="276">
        <f t="shared" si="190"/>
        <v>0</v>
      </c>
      <c r="EV55" s="276">
        <f t="shared" si="190"/>
        <v>0</v>
      </c>
      <c r="EW55" s="276">
        <f t="shared" si="190"/>
        <v>0</v>
      </c>
      <c r="EX55" s="276">
        <f t="shared" si="190"/>
        <v>0</v>
      </c>
      <c r="EY55" s="276">
        <f t="shared" si="190"/>
        <v>0</v>
      </c>
      <c r="FA55" s="276">
        <f t="shared" ref="FA55:FE55" si="191">FA39-FA44-FA46-FA48</f>
        <v>0</v>
      </c>
      <c r="FB55" s="276">
        <f t="shared" si="191"/>
        <v>0</v>
      </c>
      <c r="FC55" s="276">
        <f t="shared" si="191"/>
        <v>0</v>
      </c>
      <c r="FD55" s="276">
        <f t="shared" si="191"/>
        <v>0</v>
      </c>
      <c r="FE55" s="276">
        <f t="shared" si="191"/>
        <v>0</v>
      </c>
    </row>
  </sheetData>
  <mergeCells count="20">
    <mergeCell ref="BA7:BG7"/>
    <mergeCell ref="BI7:BO7"/>
    <mergeCell ref="BQ7:BW7"/>
    <mergeCell ref="AK7:AQ7"/>
    <mergeCell ref="FA7:FE7"/>
    <mergeCell ref="DM7:DS7"/>
    <mergeCell ref="BY7:CE7"/>
    <mergeCell ref="CG7:CM7"/>
    <mergeCell ref="CO7:CU7"/>
    <mergeCell ref="CW7:DC7"/>
    <mergeCell ref="DE7:DK7"/>
    <mergeCell ref="DU7:EA7"/>
    <mergeCell ref="EC7:EI7"/>
    <mergeCell ref="EK7:EQ7"/>
    <mergeCell ref="ES7:EY7"/>
    <mergeCell ref="D7:J7"/>
    <mergeCell ref="L7:R7"/>
    <mergeCell ref="T7:Z7"/>
    <mergeCell ref="AB7:AH7"/>
    <mergeCell ref="AS7:AY7"/>
  </mergeCells>
  <pageMargins left="0.7" right="0.7" top="0.75" bottom="0.75" header="0.3" footer="0.3"/>
  <pageSetup scale="10" orientation="landscape" r:id="rId1"/>
  <headerFooter alignWithMargins="0"/>
  <ignoredErrors>
    <ignoredError sqref="B18:T18 V18 Z18" formulaRange="1"/>
    <ignoredError sqref="W18:Y18 X13 X19 V26:X26 AD24" formula="1"/>
    <ignoredError sqref="U18" formula="1"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DF0CF-D2BB-46D5-87DE-2A2D45F90088}">
  <sheetPr>
    <tabColor theme="4" tint="0.39997558519241921"/>
  </sheetPr>
  <dimension ref="A1:AG73"/>
  <sheetViews>
    <sheetView topLeftCell="B1" workbookViewId="0">
      <selection activeCell="B1" sqref="B1"/>
    </sheetView>
  </sheetViews>
  <sheetFormatPr defaultColWidth="9.140625" defaultRowHeight="15" outlineLevelRow="1" outlineLevelCol="1" x14ac:dyDescent="0.25"/>
  <cols>
    <col min="1" max="1" width="3" style="310" hidden="1" customWidth="1" outlineLevel="1"/>
    <col min="2" max="2" width="40.140625" style="310" bestFit="1" customWidth="1" collapsed="1"/>
    <col min="3" max="3" width="10.28515625" style="310" customWidth="1"/>
    <col min="4" max="4" width="3.140625" style="310" customWidth="1"/>
    <col min="5" max="9" width="10.5703125" style="310" customWidth="1"/>
    <col min="10" max="10" width="9.7109375" style="310" bestFit="1" customWidth="1" outlineLevel="1"/>
    <col min="11" max="11" width="8.7109375" style="310" customWidth="1" outlineLevel="1"/>
    <col min="12" max="12" width="2.28515625" style="310" customWidth="1"/>
    <col min="13" max="17" width="10.5703125" style="310" customWidth="1"/>
    <col min="18" max="18" width="9.42578125" style="310" customWidth="1"/>
    <col min="19" max="19" width="8.7109375" style="310" bestFit="1" customWidth="1"/>
    <col min="20" max="20" width="3.28515625" style="310" customWidth="1"/>
    <col min="21" max="22" width="9" style="310" bestFit="1" customWidth="1"/>
    <col min="23" max="23" width="8" style="310" bestFit="1" customWidth="1"/>
    <col min="24" max="24" width="9" style="310" bestFit="1" customWidth="1"/>
    <col min="25" max="25" width="8" style="310" bestFit="1" customWidth="1"/>
    <col min="26" max="27" width="9" style="310" bestFit="1" customWidth="1"/>
    <col min="28" max="28" width="3.28515625" style="310" customWidth="1"/>
    <col min="29" max="33" width="8.7109375" style="310" customWidth="1"/>
    <col min="34" max="16384" width="9.140625" style="310"/>
  </cols>
  <sheetData>
    <row r="1" spans="1:33" x14ac:dyDescent="0.25">
      <c r="B1" s="300" t="s">
        <v>169</v>
      </c>
      <c r="C1" s="338">
        <v>201</v>
      </c>
      <c r="D1" s="305"/>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row>
    <row r="2" spans="1:33" x14ac:dyDescent="0.25">
      <c r="B2" s="302" t="s">
        <v>42</v>
      </c>
      <c r="C2" s="530">
        <v>150.9</v>
      </c>
      <c r="D2" s="305"/>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row>
    <row r="3" spans="1:33" x14ac:dyDescent="0.25">
      <c r="B3" s="302" t="s">
        <v>43</v>
      </c>
      <c r="C3" s="530">
        <v>11.1</v>
      </c>
      <c r="D3" s="305"/>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row>
    <row r="4" spans="1:33" x14ac:dyDescent="0.25">
      <c r="B4" s="302" t="s">
        <v>44</v>
      </c>
      <c r="C4" s="530">
        <v>39</v>
      </c>
      <c r="D4" s="305"/>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row>
    <row r="5" spans="1:33" x14ac:dyDescent="0.25">
      <c r="B5" s="302" t="s">
        <v>186</v>
      </c>
      <c r="C5" s="561">
        <v>47.9</v>
      </c>
      <c r="D5" s="562"/>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row>
    <row r="6" spans="1:33" ht="15.75" thickBot="1" x14ac:dyDescent="0.3">
      <c r="B6" s="87" t="s">
        <v>205</v>
      </c>
      <c r="C6" s="337">
        <v>27.5</v>
      </c>
      <c r="D6" s="354"/>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row>
    <row r="7" spans="1:33" x14ac:dyDescent="0.25">
      <c r="B7" s="304"/>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row>
    <row r="8" spans="1:33" x14ac:dyDescent="0.25">
      <c r="B8" s="304"/>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row>
    <row r="9" spans="1:33" x14ac:dyDescent="0.25">
      <c r="B9" s="304"/>
      <c r="C9" s="305"/>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row>
    <row r="10" spans="1:33" x14ac:dyDescent="0.25">
      <c r="B10" s="304"/>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row>
    <row r="11" spans="1:33" ht="15.75" thickBot="1" x14ac:dyDescent="0.3">
      <c r="B11" s="304"/>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row>
    <row r="12" spans="1:33" ht="15.75" thickBot="1" x14ac:dyDescent="0.3">
      <c r="B12" s="302"/>
      <c r="C12" s="274"/>
      <c r="D12" s="274"/>
      <c r="E12" s="807">
        <v>2023</v>
      </c>
      <c r="F12" s="808"/>
      <c r="G12" s="808"/>
      <c r="H12" s="808"/>
      <c r="I12" s="808"/>
      <c r="J12" s="808"/>
      <c r="K12" s="809"/>
      <c r="L12" s="566"/>
      <c r="M12" s="807">
        <v>2022</v>
      </c>
      <c r="N12" s="808"/>
      <c r="O12" s="808"/>
      <c r="P12" s="808"/>
      <c r="Q12" s="808"/>
      <c r="R12" s="808"/>
      <c r="S12" s="809"/>
      <c r="T12" s="274"/>
      <c r="U12" s="828">
        <v>2021</v>
      </c>
      <c r="V12" s="829"/>
      <c r="W12" s="829"/>
      <c r="X12" s="829"/>
      <c r="Y12" s="829"/>
      <c r="Z12" s="829"/>
      <c r="AA12" s="830"/>
      <c r="AB12" s="274"/>
      <c r="AC12" s="825">
        <v>2020</v>
      </c>
      <c r="AD12" s="826"/>
      <c r="AE12" s="826"/>
      <c r="AF12" s="826"/>
      <c r="AG12" s="827"/>
    </row>
    <row r="13" spans="1:33" x14ac:dyDescent="0.25">
      <c r="B13" s="42" t="str" cm="1">
        <f t="array" aca="1" ref="B13" ca="1">MID(CELL("filename",B1),FIND("]",CELL("filename",B1))+1,255)</f>
        <v>Marucci Sports</v>
      </c>
      <c r="C13" s="274"/>
      <c r="D13" s="274"/>
      <c r="E13" s="521" t="s">
        <v>3</v>
      </c>
      <c r="F13" s="97" t="s">
        <v>4</v>
      </c>
      <c r="G13" s="97" t="s">
        <v>5</v>
      </c>
      <c r="H13" s="10" t="s">
        <v>6</v>
      </c>
      <c r="I13" s="10" t="s">
        <v>7</v>
      </c>
      <c r="J13" s="10" t="str">
        <f>R13</f>
        <v>Q4 QTD</v>
      </c>
      <c r="K13" s="13" t="str">
        <f>S13</f>
        <v>Q4 YTD</v>
      </c>
      <c r="L13" s="476"/>
      <c r="M13" s="521" t="s">
        <v>3</v>
      </c>
      <c r="N13" s="97" t="s">
        <v>4</v>
      </c>
      <c r="O13" s="97" t="s">
        <v>5</v>
      </c>
      <c r="P13" s="10" t="s">
        <v>6</v>
      </c>
      <c r="Q13" s="10" t="s">
        <v>7</v>
      </c>
      <c r="R13" s="10" t="str">
        <f>Z13</f>
        <v>Q4 QTD</v>
      </c>
      <c r="S13" s="13" t="str">
        <f>AA13</f>
        <v>Q4 YTD</v>
      </c>
      <c r="T13" s="274"/>
      <c r="U13" s="76" t="s">
        <v>3</v>
      </c>
      <c r="V13" s="10" t="s">
        <v>4</v>
      </c>
      <c r="W13" s="10" t="s">
        <v>5</v>
      </c>
      <c r="X13" s="10" t="s">
        <v>6</v>
      </c>
      <c r="Y13" s="10" t="s">
        <v>7</v>
      </c>
      <c r="Z13" s="10" t="s">
        <v>8</v>
      </c>
      <c r="AA13" s="13" t="s">
        <v>9</v>
      </c>
      <c r="AB13" s="274"/>
      <c r="AC13" s="76" t="s">
        <v>5</v>
      </c>
      <c r="AD13" s="10" t="s">
        <v>6</v>
      </c>
      <c r="AE13" s="10" t="s">
        <v>7</v>
      </c>
      <c r="AF13" s="10" t="s">
        <v>8</v>
      </c>
      <c r="AG13" s="13" t="s">
        <v>9</v>
      </c>
    </row>
    <row r="14" spans="1:33" x14ac:dyDescent="0.25">
      <c r="B14" s="302"/>
      <c r="C14" s="274"/>
      <c r="D14" s="274"/>
      <c r="E14" s="313"/>
      <c r="F14" s="426"/>
      <c r="G14" s="426"/>
      <c r="H14" s="426"/>
      <c r="I14" s="426"/>
      <c r="J14" s="426"/>
      <c r="K14" s="335"/>
      <c r="L14" s="483"/>
      <c r="M14" s="313"/>
      <c r="N14" s="426"/>
      <c r="O14" s="426"/>
      <c r="P14" s="426"/>
      <c r="Q14" s="426"/>
      <c r="R14" s="426"/>
      <c r="S14" s="335"/>
      <c r="T14" s="274"/>
      <c r="U14" s="313"/>
      <c r="V14" s="426"/>
      <c r="W14" s="426"/>
      <c r="X14" s="426"/>
      <c r="Y14" s="426"/>
      <c r="Z14" s="426"/>
      <c r="AA14" s="335"/>
      <c r="AB14" s="274"/>
      <c r="AC14" s="313"/>
      <c r="AD14" s="426"/>
      <c r="AE14" s="426"/>
      <c r="AF14" s="426"/>
      <c r="AG14" s="335"/>
    </row>
    <row r="15" spans="1:33" x14ac:dyDescent="0.25">
      <c r="A15" s="310" t="s">
        <v>10</v>
      </c>
      <c r="B15" s="308" t="s">
        <v>10</v>
      </c>
      <c r="C15" s="274"/>
      <c r="D15" s="274"/>
      <c r="E15" s="567">
        <v>58296</v>
      </c>
      <c r="F15" s="423">
        <f>G15-E15</f>
        <v>37269</v>
      </c>
      <c r="G15" s="423">
        <v>95565</v>
      </c>
      <c r="H15" s="423">
        <f>I15-G15</f>
        <v>48500</v>
      </c>
      <c r="I15" s="423">
        <v>144065</v>
      </c>
      <c r="J15" s="423">
        <f>K15-I15</f>
        <v>-144065</v>
      </c>
      <c r="K15" s="21"/>
      <c r="L15" s="483"/>
      <c r="M15" s="84">
        <v>52092</v>
      </c>
      <c r="N15" s="423">
        <f>O15-M15</f>
        <v>27636</v>
      </c>
      <c r="O15" s="423">
        <v>79728</v>
      </c>
      <c r="P15" s="423">
        <f>Q15-O15</f>
        <v>42753</v>
      </c>
      <c r="Q15" s="423">
        <v>122481</v>
      </c>
      <c r="R15" s="406">
        <f>S15-Q15</f>
        <v>42930</v>
      </c>
      <c r="S15" s="21">
        <v>165411</v>
      </c>
      <c r="T15" s="274"/>
      <c r="U15" s="84">
        <v>36647</v>
      </c>
      <c r="V15" s="423">
        <v>24641</v>
      </c>
      <c r="W15" s="423">
        <v>61288</v>
      </c>
      <c r="X15" s="423">
        <v>25040</v>
      </c>
      <c r="Y15" s="423">
        <v>86328</v>
      </c>
      <c r="Z15" s="423">
        <f>AA15-Y15</f>
        <v>31838</v>
      </c>
      <c r="AA15" s="40">
        <v>118166</v>
      </c>
      <c r="AB15" s="274"/>
      <c r="AC15" s="84">
        <v>5256</v>
      </c>
      <c r="AD15" s="423">
        <v>19552</v>
      </c>
      <c r="AE15" s="423">
        <v>24808</v>
      </c>
      <c r="AF15" s="423">
        <v>18634</v>
      </c>
      <c r="AG15" s="40">
        <v>43442</v>
      </c>
    </row>
    <row r="16" spans="1:33" ht="17.25" x14ac:dyDescent="0.4">
      <c r="A16" s="310" t="s">
        <v>210</v>
      </c>
      <c r="B16" s="308" t="s">
        <v>11</v>
      </c>
      <c r="C16" s="274"/>
      <c r="D16" s="274"/>
      <c r="E16" s="568">
        <v>25528</v>
      </c>
      <c r="F16" s="427">
        <f t="shared" ref="F16:J34" si="0">G16-E16</f>
        <v>17021</v>
      </c>
      <c r="G16" s="427">
        <v>42549</v>
      </c>
      <c r="H16" s="427">
        <f t="shared" si="0"/>
        <v>19593</v>
      </c>
      <c r="I16" s="427">
        <v>62142</v>
      </c>
      <c r="J16" s="427">
        <f t="shared" si="0"/>
        <v>-62142</v>
      </c>
      <c r="K16" s="292"/>
      <c r="L16" s="483"/>
      <c r="M16" s="324">
        <v>28746</v>
      </c>
      <c r="N16" s="427">
        <f t="shared" ref="N16:N42" si="1">O16-M16</f>
        <v>15024</v>
      </c>
      <c r="O16" s="427">
        <v>43770</v>
      </c>
      <c r="P16" s="427">
        <f t="shared" ref="P16:P42" si="2">Q16-O16</f>
        <v>17885</v>
      </c>
      <c r="Q16" s="427">
        <v>61655</v>
      </c>
      <c r="R16" s="407">
        <f t="shared" ref="R16:R42" si="3">S16-Q16</f>
        <v>20128</v>
      </c>
      <c r="S16" s="292">
        <v>81783</v>
      </c>
      <c r="T16" s="274"/>
      <c r="U16" s="324">
        <v>14860</v>
      </c>
      <c r="V16" s="427">
        <v>12265</v>
      </c>
      <c r="W16" s="427">
        <v>27125</v>
      </c>
      <c r="X16" s="427">
        <v>10814</v>
      </c>
      <c r="Y16" s="427">
        <v>37939</v>
      </c>
      <c r="Z16" s="427">
        <f t="shared" ref="Z16:Z41" si="4">AA16-Y16</f>
        <v>15850</v>
      </c>
      <c r="AA16" s="326">
        <v>53789</v>
      </c>
      <c r="AB16" s="274"/>
      <c r="AC16" s="324">
        <v>5532</v>
      </c>
      <c r="AD16" s="427">
        <v>8863</v>
      </c>
      <c r="AE16" s="427">
        <v>14395</v>
      </c>
      <c r="AF16" s="427">
        <v>7702</v>
      </c>
      <c r="AG16" s="326">
        <v>22097</v>
      </c>
    </row>
    <row r="17" spans="1:33" x14ac:dyDescent="0.25">
      <c r="A17" s="310" t="s">
        <v>12</v>
      </c>
      <c r="B17" s="308" t="s">
        <v>12</v>
      </c>
      <c r="C17" s="274"/>
      <c r="D17" s="274"/>
      <c r="E17" s="567">
        <v>32768</v>
      </c>
      <c r="F17" s="423">
        <f t="shared" si="0"/>
        <v>20248</v>
      </c>
      <c r="G17" s="423">
        <v>53016</v>
      </c>
      <c r="H17" s="423">
        <f t="shared" si="0"/>
        <v>28907</v>
      </c>
      <c r="I17" s="423">
        <v>81923</v>
      </c>
      <c r="J17" s="423">
        <f t="shared" si="0"/>
        <v>-81923</v>
      </c>
      <c r="K17" s="21"/>
      <c r="L17" s="483"/>
      <c r="M17" s="84">
        <f>M15-M16</f>
        <v>23346</v>
      </c>
      <c r="N17" s="423">
        <f t="shared" si="1"/>
        <v>12612</v>
      </c>
      <c r="O17" s="423">
        <v>35958</v>
      </c>
      <c r="P17" s="423">
        <f t="shared" si="2"/>
        <v>24868</v>
      </c>
      <c r="Q17" s="423">
        <v>60826</v>
      </c>
      <c r="R17" s="406">
        <f t="shared" si="3"/>
        <v>22802</v>
      </c>
      <c r="S17" s="21">
        <v>83628</v>
      </c>
      <c r="T17" s="274"/>
      <c r="U17" s="84">
        <v>21787</v>
      </c>
      <c r="V17" s="423">
        <v>12376</v>
      </c>
      <c r="W17" s="423">
        <v>34163</v>
      </c>
      <c r="X17" s="423">
        <v>14226</v>
      </c>
      <c r="Y17" s="423">
        <v>48389</v>
      </c>
      <c r="Z17" s="423">
        <f t="shared" si="4"/>
        <v>15988</v>
      </c>
      <c r="AA17" s="40">
        <f>AA15-AA16</f>
        <v>64377</v>
      </c>
      <c r="AB17" s="274"/>
      <c r="AC17" s="84">
        <v>-276</v>
      </c>
      <c r="AD17" s="423">
        <v>10689</v>
      </c>
      <c r="AE17" s="423">
        <v>10413</v>
      </c>
      <c r="AF17" s="423">
        <v>10932</v>
      </c>
      <c r="AG17" s="40">
        <v>21345</v>
      </c>
    </row>
    <row r="18" spans="1:33" outlineLevel="1" x14ac:dyDescent="0.25">
      <c r="A18" s="310" t="s">
        <v>211</v>
      </c>
      <c r="B18" s="587" t="s">
        <v>13</v>
      </c>
      <c r="C18" s="274"/>
      <c r="D18" s="274"/>
      <c r="E18" s="569">
        <v>15903</v>
      </c>
      <c r="F18" s="424">
        <f t="shared" si="0"/>
        <v>14097</v>
      </c>
      <c r="G18" s="424">
        <v>30000</v>
      </c>
      <c r="H18" s="424">
        <f t="shared" si="0"/>
        <v>14990</v>
      </c>
      <c r="I18" s="424">
        <v>44990</v>
      </c>
      <c r="J18" s="424">
        <f t="shared" si="0"/>
        <v>-44990</v>
      </c>
      <c r="K18" s="29"/>
      <c r="L18" s="483"/>
      <c r="M18" s="85">
        <v>13123</v>
      </c>
      <c r="N18" s="424">
        <f t="shared" si="1"/>
        <v>11709.61</v>
      </c>
      <c r="O18" s="424">
        <v>24832.61</v>
      </c>
      <c r="P18" s="424">
        <f t="shared" si="2"/>
        <v>14102.39</v>
      </c>
      <c r="Q18" s="424">
        <v>38935</v>
      </c>
      <c r="R18" s="408">
        <f t="shared" si="3"/>
        <v>13399</v>
      </c>
      <c r="S18" s="29">
        <v>52334</v>
      </c>
      <c r="T18" s="274"/>
      <c r="U18" s="85">
        <v>9453</v>
      </c>
      <c r="V18" s="424">
        <v>9485</v>
      </c>
      <c r="W18" s="424">
        <v>18938</v>
      </c>
      <c r="X18" s="424">
        <v>8851</v>
      </c>
      <c r="Y18" s="424">
        <v>27789</v>
      </c>
      <c r="Z18" s="424">
        <f t="shared" si="4"/>
        <v>13036</v>
      </c>
      <c r="AA18" s="86">
        <v>40825</v>
      </c>
      <c r="AB18" s="274"/>
      <c r="AC18" s="85">
        <v>6083</v>
      </c>
      <c r="AD18" s="424">
        <v>7613</v>
      </c>
      <c r="AE18" s="424">
        <v>13696</v>
      </c>
      <c r="AF18" s="424">
        <v>6883</v>
      </c>
      <c r="AG18" s="86">
        <v>20579</v>
      </c>
    </row>
    <row r="19" spans="1:33" outlineLevel="1" x14ac:dyDescent="0.25">
      <c r="A19" s="310" t="s">
        <v>212</v>
      </c>
      <c r="B19" s="302" t="s">
        <v>14</v>
      </c>
      <c r="C19" s="274"/>
      <c r="D19" s="274"/>
      <c r="E19" s="569">
        <v>125</v>
      </c>
      <c r="F19" s="424">
        <f t="shared" si="0"/>
        <v>125</v>
      </c>
      <c r="G19" s="424">
        <v>250</v>
      </c>
      <c r="H19" s="424">
        <f t="shared" si="0"/>
        <v>125</v>
      </c>
      <c r="I19" s="424">
        <v>375</v>
      </c>
      <c r="J19" s="424">
        <f t="shared" si="0"/>
        <v>-375</v>
      </c>
      <c r="K19" s="29"/>
      <c r="L19" s="483"/>
      <c r="M19" s="85">
        <v>125</v>
      </c>
      <c r="N19" s="424">
        <f t="shared" si="1"/>
        <v>125</v>
      </c>
      <c r="O19" s="424">
        <v>250</v>
      </c>
      <c r="P19" s="424">
        <f t="shared" si="2"/>
        <v>125</v>
      </c>
      <c r="Q19" s="424">
        <v>375</v>
      </c>
      <c r="R19" s="408">
        <f t="shared" si="3"/>
        <v>125</v>
      </c>
      <c r="S19" s="29">
        <v>500</v>
      </c>
      <c r="T19" s="274"/>
      <c r="U19" s="85">
        <v>125</v>
      </c>
      <c r="V19" s="424">
        <v>125</v>
      </c>
      <c r="W19" s="424">
        <v>250</v>
      </c>
      <c r="X19" s="424">
        <v>125</v>
      </c>
      <c r="Y19" s="424">
        <v>375</v>
      </c>
      <c r="Z19" s="424">
        <f t="shared" si="4"/>
        <v>125</v>
      </c>
      <c r="AA19" s="86">
        <v>500</v>
      </c>
      <c r="AB19" s="274"/>
      <c r="AC19" s="85">
        <v>97</v>
      </c>
      <c r="AD19" s="424">
        <v>125</v>
      </c>
      <c r="AE19" s="424">
        <v>222</v>
      </c>
      <c r="AF19" s="424">
        <v>125</v>
      </c>
      <c r="AG19" s="86">
        <v>347</v>
      </c>
    </row>
    <row r="20" spans="1:33" outlineLevel="1" x14ac:dyDescent="0.25">
      <c r="A20" s="310" t="s">
        <v>213</v>
      </c>
      <c r="B20" s="302" t="s">
        <v>15</v>
      </c>
      <c r="C20" s="274"/>
      <c r="D20" s="274"/>
      <c r="E20" s="569">
        <v>2400</v>
      </c>
      <c r="F20" s="424">
        <f t="shared" si="0"/>
        <v>2700</v>
      </c>
      <c r="G20" s="424">
        <v>5100</v>
      </c>
      <c r="H20" s="424">
        <f t="shared" si="0"/>
        <v>2702</v>
      </c>
      <c r="I20" s="424">
        <v>7802</v>
      </c>
      <c r="J20" s="424">
        <f t="shared" si="0"/>
        <v>-7802</v>
      </c>
      <c r="K20" s="23"/>
      <c r="L20" s="483"/>
      <c r="M20" s="85">
        <v>2213</v>
      </c>
      <c r="N20" s="424">
        <f t="shared" si="1"/>
        <v>2213</v>
      </c>
      <c r="O20" s="424">
        <v>4426</v>
      </c>
      <c r="P20" s="424">
        <f t="shared" si="2"/>
        <v>2949</v>
      </c>
      <c r="Q20" s="424">
        <v>7375</v>
      </c>
      <c r="R20" s="405">
        <f t="shared" si="3"/>
        <v>2306</v>
      </c>
      <c r="S20" s="23">
        <v>9681</v>
      </c>
      <c r="T20" s="274"/>
      <c r="U20" s="85">
        <v>1702</v>
      </c>
      <c r="V20" s="424">
        <v>1586</v>
      </c>
      <c r="W20" s="424">
        <v>3288</v>
      </c>
      <c r="X20" s="424">
        <v>1670</v>
      </c>
      <c r="Y20" s="424">
        <v>4958</v>
      </c>
      <c r="Z20" s="424">
        <f t="shared" si="4"/>
        <v>1675</v>
      </c>
      <c r="AA20" s="86">
        <v>6633</v>
      </c>
      <c r="AB20" s="274"/>
      <c r="AC20" s="85">
        <v>1287</v>
      </c>
      <c r="AD20" s="424">
        <v>1686</v>
      </c>
      <c r="AE20" s="424">
        <v>2973</v>
      </c>
      <c r="AF20" s="424">
        <v>1718</v>
      </c>
      <c r="AG20" s="86">
        <v>4691</v>
      </c>
    </row>
    <row r="21" spans="1:33" ht="17.25" outlineLevel="1" x14ac:dyDescent="0.4">
      <c r="A21" s="310" t="s">
        <v>198</v>
      </c>
      <c r="B21" s="302" t="s">
        <v>198</v>
      </c>
      <c r="C21" s="274"/>
      <c r="D21" s="274"/>
      <c r="E21" s="570">
        <v>0</v>
      </c>
      <c r="F21" s="428">
        <f t="shared" si="0"/>
        <v>364</v>
      </c>
      <c r="G21" s="428">
        <v>364</v>
      </c>
      <c r="H21" s="428">
        <f t="shared" si="0"/>
        <v>28</v>
      </c>
      <c r="I21" s="428">
        <v>392</v>
      </c>
      <c r="J21" s="428">
        <f t="shared" si="0"/>
        <v>-392</v>
      </c>
      <c r="K21" s="162"/>
      <c r="L21" s="483"/>
      <c r="M21" s="272">
        <v>0</v>
      </c>
      <c r="N21" s="428">
        <f t="shared" si="1"/>
        <v>0</v>
      </c>
      <c r="O21" s="428">
        <v>0</v>
      </c>
      <c r="P21" s="428">
        <f t="shared" si="2"/>
        <v>0</v>
      </c>
      <c r="Q21" s="428">
        <v>0</v>
      </c>
      <c r="R21" s="409">
        <f t="shared" si="3"/>
        <v>0</v>
      </c>
      <c r="S21" s="162">
        <v>0</v>
      </c>
      <c r="T21" s="274"/>
      <c r="U21" s="272">
        <v>0</v>
      </c>
      <c r="V21" s="428">
        <v>0</v>
      </c>
      <c r="W21" s="428">
        <v>0</v>
      </c>
      <c r="X21" s="428">
        <v>0</v>
      </c>
      <c r="Y21" s="428">
        <v>0</v>
      </c>
      <c r="Z21" s="428">
        <f t="shared" si="4"/>
        <v>0</v>
      </c>
      <c r="AA21" s="273">
        <v>0</v>
      </c>
      <c r="AB21" s="274"/>
      <c r="AC21" s="272">
        <v>0</v>
      </c>
      <c r="AD21" s="428">
        <v>0</v>
      </c>
      <c r="AE21" s="428">
        <v>0</v>
      </c>
      <c r="AF21" s="428">
        <v>0</v>
      </c>
      <c r="AG21" s="273">
        <v>0</v>
      </c>
    </row>
    <row r="22" spans="1:33" x14ac:dyDescent="0.25">
      <c r="A22" s="310" t="s">
        <v>214</v>
      </c>
      <c r="B22" s="308" t="s">
        <v>17</v>
      </c>
      <c r="C22" s="274"/>
      <c r="D22" s="274"/>
      <c r="E22" s="567">
        <v>14340</v>
      </c>
      <c r="F22" s="423">
        <f t="shared" si="0"/>
        <v>2962</v>
      </c>
      <c r="G22" s="423">
        <v>17302</v>
      </c>
      <c r="H22" s="423">
        <f t="shared" si="0"/>
        <v>11062</v>
      </c>
      <c r="I22" s="423">
        <v>28364</v>
      </c>
      <c r="J22" s="423">
        <f t="shared" si="0"/>
        <v>-28364</v>
      </c>
      <c r="K22" s="21"/>
      <c r="L22" s="483"/>
      <c r="M22" s="84">
        <v>7885</v>
      </c>
      <c r="N22" s="423">
        <f t="shared" si="1"/>
        <v>-1435.6100000000006</v>
      </c>
      <c r="O22" s="423">
        <v>6449.3899999999994</v>
      </c>
      <c r="P22" s="423">
        <f t="shared" si="2"/>
        <v>7691.6100000000006</v>
      </c>
      <c r="Q22" s="423">
        <v>14141</v>
      </c>
      <c r="R22" s="406">
        <f t="shared" si="3"/>
        <v>6972</v>
      </c>
      <c r="S22" s="21">
        <v>21113</v>
      </c>
      <c r="T22" s="274"/>
      <c r="U22" s="84">
        <v>10507</v>
      </c>
      <c r="V22" s="423">
        <v>1180</v>
      </c>
      <c r="W22" s="423">
        <v>11687</v>
      </c>
      <c r="X22" s="423">
        <v>3580</v>
      </c>
      <c r="Y22" s="423">
        <v>15267</v>
      </c>
      <c r="Z22" s="423">
        <f t="shared" si="4"/>
        <v>1152</v>
      </c>
      <c r="AA22" s="40">
        <v>16419</v>
      </c>
      <c r="AB22" s="274"/>
      <c r="AC22" s="84">
        <v>-7743</v>
      </c>
      <c r="AD22" s="423">
        <v>1265</v>
      </c>
      <c r="AE22" s="423">
        <v>-6478</v>
      </c>
      <c r="AF22" s="423">
        <v>2206</v>
      </c>
      <c r="AG22" s="40">
        <v>-4272</v>
      </c>
    </row>
    <row r="23" spans="1:33" outlineLevel="1" x14ac:dyDescent="0.25">
      <c r="A23" s="310" t="s">
        <v>217</v>
      </c>
      <c r="B23" s="587" t="s">
        <v>18</v>
      </c>
      <c r="C23" s="274"/>
      <c r="D23" s="274"/>
      <c r="E23" s="569">
        <v>70</v>
      </c>
      <c r="F23" s="424">
        <f t="shared" si="0"/>
        <v>43</v>
      </c>
      <c r="G23" s="424">
        <v>113</v>
      </c>
      <c r="H23" s="424">
        <f t="shared" si="0"/>
        <v>45</v>
      </c>
      <c r="I23" s="424">
        <v>158</v>
      </c>
      <c r="J23" s="424">
        <f t="shared" si="0"/>
        <v>-158</v>
      </c>
      <c r="K23" s="29"/>
      <c r="L23" s="483"/>
      <c r="M23" s="85">
        <v>-1773</v>
      </c>
      <c r="N23" s="424">
        <f t="shared" si="1"/>
        <v>19</v>
      </c>
      <c r="O23" s="424">
        <v>-1754</v>
      </c>
      <c r="P23" s="424">
        <f t="shared" si="2"/>
        <v>38</v>
      </c>
      <c r="Q23" s="424">
        <v>-1716</v>
      </c>
      <c r="R23" s="408">
        <f t="shared" si="3"/>
        <v>-8</v>
      </c>
      <c r="S23" s="29">
        <v>-1724</v>
      </c>
      <c r="T23" s="274"/>
      <c r="U23" s="85">
        <v>27</v>
      </c>
      <c r="V23" s="424">
        <v>924</v>
      </c>
      <c r="W23" s="424">
        <v>951</v>
      </c>
      <c r="X23" s="424">
        <v>16</v>
      </c>
      <c r="Y23" s="424">
        <v>967</v>
      </c>
      <c r="Z23" s="424">
        <f t="shared" si="4"/>
        <v>-965</v>
      </c>
      <c r="AA23" s="86">
        <v>2</v>
      </c>
      <c r="AB23" s="274"/>
      <c r="AC23" s="85">
        <v>-10</v>
      </c>
      <c r="AD23" s="424">
        <v>27</v>
      </c>
      <c r="AE23" s="424">
        <v>17</v>
      </c>
      <c r="AF23" s="424">
        <v>36</v>
      </c>
      <c r="AG23" s="86">
        <v>53</v>
      </c>
    </row>
    <row r="24" spans="1:33" outlineLevel="1" x14ac:dyDescent="0.25">
      <c r="A24" s="310" t="s">
        <v>215</v>
      </c>
      <c r="B24" s="587" t="s">
        <v>19</v>
      </c>
      <c r="C24" s="274"/>
      <c r="D24" s="274"/>
      <c r="E24" s="569">
        <v>1</v>
      </c>
      <c r="F24" s="424">
        <f t="shared" si="0"/>
        <v>1</v>
      </c>
      <c r="G24" s="424">
        <v>2</v>
      </c>
      <c r="H24" s="424">
        <f t="shared" si="0"/>
        <v>1</v>
      </c>
      <c r="I24" s="424">
        <v>3</v>
      </c>
      <c r="J24" s="424">
        <f t="shared" si="0"/>
        <v>-3</v>
      </c>
      <c r="K24" s="29"/>
      <c r="L24" s="483"/>
      <c r="M24" s="85">
        <v>1</v>
      </c>
      <c r="N24" s="424">
        <f t="shared" si="1"/>
        <v>9</v>
      </c>
      <c r="O24" s="424">
        <v>10</v>
      </c>
      <c r="P24" s="424">
        <f t="shared" si="2"/>
        <v>3</v>
      </c>
      <c r="Q24" s="424">
        <v>13</v>
      </c>
      <c r="R24" s="408">
        <f t="shared" si="3"/>
        <v>1</v>
      </c>
      <c r="S24" s="29">
        <v>14</v>
      </c>
      <c r="T24" s="274"/>
      <c r="U24" s="85">
        <v>2</v>
      </c>
      <c r="V24" s="424">
        <v>2</v>
      </c>
      <c r="W24" s="424">
        <v>4</v>
      </c>
      <c r="X24" s="424">
        <v>1</v>
      </c>
      <c r="Y24" s="424">
        <v>5</v>
      </c>
      <c r="Z24" s="424">
        <f t="shared" si="4"/>
        <v>0</v>
      </c>
      <c r="AA24" s="86">
        <v>5</v>
      </c>
      <c r="AB24" s="274"/>
      <c r="AC24" s="85">
        <v>4</v>
      </c>
      <c r="AD24" s="424">
        <v>2</v>
      </c>
      <c r="AE24" s="424">
        <v>6</v>
      </c>
      <c r="AF24" s="424">
        <v>1</v>
      </c>
      <c r="AG24" s="86">
        <v>7</v>
      </c>
    </row>
    <row r="25" spans="1:33" outlineLevel="1" x14ac:dyDescent="0.25">
      <c r="A25" s="310" t="s">
        <v>216</v>
      </c>
      <c r="B25" s="587" t="s">
        <v>20</v>
      </c>
      <c r="C25" s="274"/>
      <c r="D25" s="274"/>
      <c r="E25" s="569">
        <v>2339</v>
      </c>
      <c r="F25" s="424">
        <f t="shared" si="0"/>
        <v>2389</v>
      </c>
      <c r="G25" s="424">
        <v>4728</v>
      </c>
      <c r="H25" s="424">
        <f t="shared" si="0"/>
        <v>2200</v>
      </c>
      <c r="I25" s="424">
        <v>6928</v>
      </c>
      <c r="J25" s="424">
        <f t="shared" si="0"/>
        <v>-6928</v>
      </c>
      <c r="K25" s="29"/>
      <c r="L25" s="483"/>
      <c r="M25" s="85">
        <v>1517</v>
      </c>
      <c r="N25" s="424">
        <f t="shared" si="1"/>
        <v>1320</v>
      </c>
      <c r="O25" s="424">
        <v>2837</v>
      </c>
      <c r="P25" s="424">
        <f t="shared" si="2"/>
        <v>1812</v>
      </c>
      <c r="Q25" s="424">
        <v>4649</v>
      </c>
      <c r="R25" s="408">
        <f t="shared" si="3"/>
        <v>2328</v>
      </c>
      <c r="S25" s="29">
        <v>6977</v>
      </c>
      <c r="T25" s="274"/>
      <c r="U25" s="85">
        <v>552</v>
      </c>
      <c r="V25" s="424">
        <v>641</v>
      </c>
      <c r="W25" s="424">
        <v>1193</v>
      </c>
      <c r="X25" s="424">
        <v>697</v>
      </c>
      <c r="Y25" s="424">
        <v>1890</v>
      </c>
      <c r="Z25" s="424">
        <f t="shared" si="4"/>
        <v>1220</v>
      </c>
      <c r="AA25" s="86">
        <v>3110</v>
      </c>
      <c r="AB25" s="274"/>
      <c r="AC25" s="85">
        <v>532</v>
      </c>
      <c r="AD25" s="424">
        <v>662</v>
      </c>
      <c r="AE25" s="424">
        <v>1194</v>
      </c>
      <c r="AF25" s="424">
        <v>649</v>
      </c>
      <c r="AG25" s="86">
        <v>1843</v>
      </c>
    </row>
    <row r="26" spans="1:33" ht="17.25" outlineLevel="1" x14ac:dyDescent="0.4">
      <c r="A26" s="310" t="s">
        <v>218</v>
      </c>
      <c r="B26" s="302" t="s">
        <v>21</v>
      </c>
      <c r="C26" s="274"/>
      <c r="D26" s="274"/>
      <c r="E26" s="571">
        <v>2916</v>
      </c>
      <c r="F26" s="428">
        <f t="shared" si="0"/>
        <v>124</v>
      </c>
      <c r="G26" s="428">
        <v>3040</v>
      </c>
      <c r="H26" s="428">
        <f t="shared" si="0"/>
        <v>2110</v>
      </c>
      <c r="I26" s="428">
        <v>5150</v>
      </c>
      <c r="J26" s="428">
        <f t="shared" si="0"/>
        <v>-5150</v>
      </c>
      <c r="K26" s="33"/>
      <c r="L26" s="483"/>
      <c r="M26" s="272">
        <v>2006</v>
      </c>
      <c r="N26" s="428">
        <f t="shared" si="1"/>
        <v>-794</v>
      </c>
      <c r="O26" s="428">
        <v>1212</v>
      </c>
      <c r="P26" s="428">
        <f t="shared" si="2"/>
        <v>1609</v>
      </c>
      <c r="Q26" s="428">
        <v>2821</v>
      </c>
      <c r="R26" s="410">
        <f t="shared" si="3"/>
        <v>1499</v>
      </c>
      <c r="S26" s="33">
        <v>4320</v>
      </c>
      <c r="T26" s="274"/>
      <c r="U26" s="272">
        <v>2398</v>
      </c>
      <c r="V26" s="428">
        <v>-109</v>
      </c>
      <c r="W26" s="428">
        <v>2289</v>
      </c>
      <c r="X26" s="428">
        <v>631</v>
      </c>
      <c r="Y26" s="428">
        <v>2920</v>
      </c>
      <c r="Z26" s="428">
        <f t="shared" si="4"/>
        <v>150</v>
      </c>
      <c r="AA26" s="273">
        <v>3070</v>
      </c>
      <c r="AB26" s="274"/>
      <c r="AC26" s="272">
        <v>-1944</v>
      </c>
      <c r="AD26" s="428">
        <v>-407</v>
      </c>
      <c r="AE26" s="428">
        <v>-2351</v>
      </c>
      <c r="AF26" s="428">
        <v>961</v>
      </c>
      <c r="AG26" s="273">
        <v>-1390</v>
      </c>
    </row>
    <row r="27" spans="1:33" x14ac:dyDescent="0.25">
      <c r="A27" s="310" t="s">
        <v>219</v>
      </c>
      <c r="B27" s="308" t="s">
        <v>24</v>
      </c>
      <c r="C27" s="274"/>
      <c r="D27" s="274"/>
      <c r="E27" s="567">
        <v>9014</v>
      </c>
      <c r="F27" s="423">
        <f t="shared" si="0"/>
        <v>405</v>
      </c>
      <c r="G27" s="423">
        <v>9419</v>
      </c>
      <c r="H27" s="423">
        <f t="shared" si="0"/>
        <v>6706</v>
      </c>
      <c r="I27" s="423">
        <v>16125</v>
      </c>
      <c r="J27" s="423">
        <f t="shared" si="0"/>
        <v>-16125</v>
      </c>
      <c r="K27" s="21"/>
      <c r="L27" s="483"/>
      <c r="M27" s="84">
        <v>6134</v>
      </c>
      <c r="N27" s="423">
        <f t="shared" si="1"/>
        <v>-1990</v>
      </c>
      <c r="O27" s="423">
        <v>4144</v>
      </c>
      <c r="P27" s="423">
        <f t="shared" si="2"/>
        <v>4230</v>
      </c>
      <c r="Q27" s="423">
        <v>8374</v>
      </c>
      <c r="R27" s="406">
        <f t="shared" si="3"/>
        <v>3152</v>
      </c>
      <c r="S27" s="21">
        <v>11526</v>
      </c>
      <c r="T27" s="274"/>
      <c r="U27" s="84">
        <v>7528</v>
      </c>
      <c r="V27" s="423">
        <v>-278</v>
      </c>
      <c r="W27" s="423">
        <v>7250</v>
      </c>
      <c r="X27" s="423">
        <v>2235</v>
      </c>
      <c r="Y27" s="423">
        <v>9485</v>
      </c>
      <c r="Z27" s="423">
        <f t="shared" si="4"/>
        <v>747</v>
      </c>
      <c r="AA27" s="40">
        <v>10232</v>
      </c>
      <c r="AB27" s="274"/>
      <c r="AC27" s="84">
        <v>-6325</v>
      </c>
      <c r="AD27" s="423">
        <v>981</v>
      </c>
      <c r="AE27" s="423">
        <v>-5344</v>
      </c>
      <c r="AF27" s="423">
        <v>559</v>
      </c>
      <c r="AG27" s="40">
        <v>-4785</v>
      </c>
    </row>
    <row r="28" spans="1:33" outlineLevel="1" x14ac:dyDescent="0.25">
      <c r="B28" s="307" t="s">
        <v>54</v>
      </c>
      <c r="C28" s="274"/>
      <c r="D28" s="274"/>
      <c r="E28" s="569"/>
      <c r="F28" s="423"/>
      <c r="G28" s="423"/>
      <c r="H28" s="423"/>
      <c r="I28" s="423"/>
      <c r="J28" s="423"/>
      <c r="K28" s="29"/>
      <c r="L28" s="483"/>
      <c r="M28" s="84"/>
      <c r="N28" s="423">
        <f t="shared" si="1"/>
        <v>0</v>
      </c>
      <c r="O28" s="423">
        <v>0</v>
      </c>
      <c r="P28" s="423"/>
      <c r="Q28" s="423"/>
      <c r="R28" s="408">
        <f t="shared" si="3"/>
        <v>0</v>
      </c>
      <c r="S28" s="29">
        <v>0</v>
      </c>
      <c r="T28" s="274"/>
      <c r="U28" s="84"/>
      <c r="V28" s="423"/>
      <c r="W28" s="423"/>
      <c r="X28" s="423"/>
      <c r="Y28" s="423"/>
      <c r="Z28" s="423"/>
      <c r="AA28" s="40"/>
      <c r="AB28" s="274"/>
      <c r="AC28" s="84"/>
      <c r="AD28" s="423"/>
      <c r="AE28" s="423"/>
      <c r="AF28" s="423"/>
      <c r="AG28" s="40"/>
    </row>
    <row r="29" spans="1:33" outlineLevel="1" x14ac:dyDescent="0.25">
      <c r="A29" s="310" t="s">
        <v>21</v>
      </c>
      <c r="B29" s="302" t="s">
        <v>21</v>
      </c>
      <c r="C29" s="274"/>
      <c r="D29" s="274"/>
      <c r="E29" s="569">
        <v>2916</v>
      </c>
      <c r="F29" s="424">
        <f t="shared" si="0"/>
        <v>124</v>
      </c>
      <c r="G29" s="424">
        <v>3040</v>
      </c>
      <c r="H29" s="424">
        <f t="shared" si="0"/>
        <v>2110</v>
      </c>
      <c r="I29" s="424">
        <v>5150</v>
      </c>
      <c r="J29" s="424">
        <f t="shared" si="0"/>
        <v>-5150</v>
      </c>
      <c r="K29" s="29"/>
      <c r="L29" s="483"/>
      <c r="M29" s="85">
        <v>2006</v>
      </c>
      <c r="N29" s="424">
        <f t="shared" si="1"/>
        <v>-794</v>
      </c>
      <c r="O29" s="424">
        <v>1212</v>
      </c>
      <c r="P29" s="424">
        <f t="shared" si="2"/>
        <v>1609</v>
      </c>
      <c r="Q29" s="424">
        <v>2821</v>
      </c>
      <c r="R29" s="408">
        <f t="shared" si="3"/>
        <v>1499</v>
      </c>
      <c r="S29" s="29">
        <v>4320</v>
      </c>
      <c r="T29" s="274"/>
      <c r="U29" s="85">
        <v>2398</v>
      </c>
      <c r="V29" s="424">
        <v>-109</v>
      </c>
      <c r="W29" s="424">
        <v>2289</v>
      </c>
      <c r="X29" s="424">
        <v>631</v>
      </c>
      <c r="Y29" s="424">
        <v>2920</v>
      </c>
      <c r="Z29" s="424">
        <f t="shared" si="4"/>
        <v>150</v>
      </c>
      <c r="AA29" s="86">
        <v>3070</v>
      </c>
      <c r="AB29" s="274"/>
      <c r="AC29" s="85">
        <v>-1944</v>
      </c>
      <c r="AD29" s="424">
        <v>-407</v>
      </c>
      <c r="AE29" s="424">
        <v>-2351</v>
      </c>
      <c r="AF29" s="424">
        <v>961</v>
      </c>
      <c r="AG29" s="86">
        <v>-1390</v>
      </c>
    </row>
    <row r="30" spans="1:33" outlineLevel="1" x14ac:dyDescent="0.25">
      <c r="A30" s="310" t="s">
        <v>195</v>
      </c>
      <c r="B30" s="302" t="s">
        <v>19</v>
      </c>
      <c r="C30" s="274"/>
      <c r="D30" s="274"/>
      <c r="E30" s="569">
        <v>1</v>
      </c>
      <c r="F30" s="424">
        <f t="shared" si="0"/>
        <v>1</v>
      </c>
      <c r="G30" s="424">
        <v>2</v>
      </c>
      <c r="H30" s="424">
        <f t="shared" si="0"/>
        <v>1</v>
      </c>
      <c r="I30" s="424">
        <v>3</v>
      </c>
      <c r="J30" s="424">
        <f t="shared" si="0"/>
        <v>-3</v>
      </c>
      <c r="K30" s="29"/>
      <c r="L30" s="483"/>
      <c r="M30" s="85">
        <v>1</v>
      </c>
      <c r="N30" s="424">
        <f t="shared" si="1"/>
        <v>9</v>
      </c>
      <c r="O30" s="424">
        <v>10</v>
      </c>
      <c r="P30" s="424">
        <f t="shared" si="2"/>
        <v>3</v>
      </c>
      <c r="Q30" s="424">
        <v>13</v>
      </c>
      <c r="R30" s="408">
        <f t="shared" si="3"/>
        <v>1</v>
      </c>
      <c r="S30" s="29">
        <v>14</v>
      </c>
      <c r="T30" s="274"/>
      <c r="U30" s="85">
        <v>2</v>
      </c>
      <c r="V30" s="424">
        <v>2</v>
      </c>
      <c r="W30" s="424">
        <v>4</v>
      </c>
      <c r="X30" s="424">
        <v>1</v>
      </c>
      <c r="Y30" s="424">
        <v>5</v>
      </c>
      <c r="Z30" s="424">
        <f t="shared" si="4"/>
        <v>0</v>
      </c>
      <c r="AA30" s="86">
        <v>5</v>
      </c>
      <c r="AB30" s="274"/>
      <c r="AC30" s="85">
        <v>4</v>
      </c>
      <c r="AD30" s="424">
        <v>2</v>
      </c>
      <c r="AE30" s="424">
        <v>6</v>
      </c>
      <c r="AF30" s="424">
        <v>1</v>
      </c>
      <c r="AG30" s="86">
        <v>7</v>
      </c>
    </row>
    <row r="31" spans="1:33" outlineLevel="1" x14ac:dyDescent="0.25">
      <c r="A31" s="310" t="s">
        <v>95</v>
      </c>
      <c r="B31" s="302" t="s">
        <v>20</v>
      </c>
      <c r="C31" s="274"/>
      <c r="D31" s="274"/>
      <c r="E31" s="569">
        <v>2339</v>
      </c>
      <c r="F31" s="424">
        <f t="shared" si="0"/>
        <v>2389</v>
      </c>
      <c r="G31" s="424">
        <v>4728</v>
      </c>
      <c r="H31" s="424">
        <f t="shared" si="0"/>
        <v>2200</v>
      </c>
      <c r="I31" s="424">
        <v>6928</v>
      </c>
      <c r="J31" s="424">
        <f t="shared" si="0"/>
        <v>-6928</v>
      </c>
      <c r="K31" s="29"/>
      <c r="L31" s="483"/>
      <c r="M31" s="85">
        <v>1517</v>
      </c>
      <c r="N31" s="424">
        <f t="shared" si="1"/>
        <v>1320</v>
      </c>
      <c r="O31" s="424">
        <v>2837</v>
      </c>
      <c r="P31" s="424">
        <f t="shared" si="2"/>
        <v>1812</v>
      </c>
      <c r="Q31" s="424">
        <v>4649</v>
      </c>
      <c r="R31" s="408">
        <f t="shared" si="3"/>
        <v>2328</v>
      </c>
      <c r="S31" s="29">
        <v>6977</v>
      </c>
      <c r="T31" s="274"/>
      <c r="U31" s="85">
        <v>552</v>
      </c>
      <c r="V31" s="424">
        <v>641</v>
      </c>
      <c r="W31" s="424">
        <v>1193</v>
      </c>
      <c r="X31" s="424">
        <v>697</v>
      </c>
      <c r="Y31" s="424">
        <v>1890</v>
      </c>
      <c r="Z31" s="424">
        <f t="shared" si="4"/>
        <v>1220</v>
      </c>
      <c r="AA31" s="86">
        <v>3110</v>
      </c>
      <c r="AB31" s="274"/>
      <c r="AC31" s="85">
        <v>532</v>
      </c>
      <c r="AD31" s="424">
        <v>662</v>
      </c>
      <c r="AE31" s="424">
        <v>1194</v>
      </c>
      <c r="AF31" s="424">
        <v>649</v>
      </c>
      <c r="AG31" s="86">
        <v>1843</v>
      </c>
    </row>
    <row r="32" spans="1:33" outlineLevel="1" x14ac:dyDescent="0.25">
      <c r="A32" s="310" t="s">
        <v>96</v>
      </c>
      <c r="B32" s="302" t="s">
        <v>55</v>
      </c>
      <c r="C32" s="274"/>
      <c r="D32" s="274"/>
      <c r="E32" s="569">
        <v>3014</v>
      </c>
      <c r="F32" s="424">
        <f t="shared" si="0"/>
        <v>3358</v>
      </c>
      <c r="G32" s="424">
        <v>6372</v>
      </c>
      <c r="H32" s="424">
        <f t="shared" si="0"/>
        <v>3397</v>
      </c>
      <c r="I32" s="424">
        <v>9769</v>
      </c>
      <c r="J32" s="424">
        <f t="shared" si="0"/>
        <v>-9769</v>
      </c>
      <c r="K32" s="29"/>
      <c r="L32" s="483"/>
      <c r="M32" s="85">
        <v>4152</v>
      </c>
      <c r="N32" s="424">
        <f t="shared" si="1"/>
        <v>2827</v>
      </c>
      <c r="O32" s="424">
        <f>7054-75</f>
        <v>6979</v>
      </c>
      <c r="P32" s="424">
        <f t="shared" si="2"/>
        <v>2467</v>
      </c>
      <c r="Q32" s="424">
        <v>9446</v>
      </c>
      <c r="R32" s="408">
        <f t="shared" si="3"/>
        <v>2987</v>
      </c>
      <c r="S32" s="29">
        <f>12583-150</f>
        <v>12433</v>
      </c>
      <c r="T32" s="274"/>
      <c r="U32" s="85">
        <v>2139</v>
      </c>
      <c r="V32" s="424">
        <v>2024</v>
      </c>
      <c r="W32" s="424">
        <v>4163</v>
      </c>
      <c r="X32" s="424">
        <v>2127</v>
      </c>
      <c r="Y32" s="424">
        <v>6290</v>
      </c>
      <c r="Z32" s="424">
        <f t="shared" si="4"/>
        <v>2223</v>
      </c>
      <c r="AA32" s="86">
        <v>8513</v>
      </c>
      <c r="AB32" s="274"/>
      <c r="AC32" s="85">
        <v>4687</v>
      </c>
      <c r="AD32" s="424">
        <v>3281</v>
      </c>
      <c r="AE32" s="424">
        <v>7968</v>
      </c>
      <c r="AF32" s="424">
        <v>2141</v>
      </c>
      <c r="AG32" s="86">
        <v>10109</v>
      </c>
    </row>
    <row r="33" spans="1:33" outlineLevel="1" x14ac:dyDescent="0.25">
      <c r="A33" s="310" t="s">
        <v>220</v>
      </c>
      <c r="B33" s="587" t="s">
        <v>56</v>
      </c>
      <c r="C33" s="274"/>
      <c r="D33" s="274"/>
      <c r="E33" s="570">
        <v>37</v>
      </c>
      <c r="F33" s="425">
        <f t="shared" si="0"/>
        <v>46</v>
      </c>
      <c r="G33" s="425">
        <v>83</v>
      </c>
      <c r="H33" s="425">
        <f t="shared" si="0"/>
        <v>46</v>
      </c>
      <c r="I33" s="425">
        <v>129</v>
      </c>
      <c r="J33" s="425">
        <f t="shared" si="0"/>
        <v>-129</v>
      </c>
      <c r="K33" s="162"/>
      <c r="L33" s="483"/>
      <c r="M33" s="198">
        <v>37</v>
      </c>
      <c r="N33" s="425">
        <f t="shared" si="1"/>
        <v>38</v>
      </c>
      <c r="O33" s="425">
        <v>75</v>
      </c>
      <c r="P33" s="425">
        <f t="shared" si="2"/>
        <v>37</v>
      </c>
      <c r="Q33" s="425">
        <v>112</v>
      </c>
      <c r="R33" s="409">
        <f t="shared" si="3"/>
        <v>38</v>
      </c>
      <c r="S33" s="162">
        <v>150</v>
      </c>
      <c r="T33" s="274"/>
      <c r="U33" s="198">
        <v>30</v>
      </c>
      <c r="V33" s="425">
        <v>29</v>
      </c>
      <c r="W33" s="425">
        <v>59</v>
      </c>
      <c r="X33" s="425">
        <v>28</v>
      </c>
      <c r="Y33" s="425">
        <v>87</v>
      </c>
      <c r="Z33" s="425">
        <f t="shared" si="4"/>
        <v>34</v>
      </c>
      <c r="AA33" s="193">
        <v>121</v>
      </c>
      <c r="AB33" s="274"/>
      <c r="AC33" s="198">
        <v>30</v>
      </c>
      <c r="AD33" s="425">
        <v>33</v>
      </c>
      <c r="AE33" s="425">
        <v>63</v>
      </c>
      <c r="AF33" s="425">
        <v>31</v>
      </c>
      <c r="AG33" s="193">
        <v>94</v>
      </c>
    </row>
    <row r="34" spans="1:33" x14ac:dyDescent="0.25">
      <c r="A34" s="310" t="s">
        <v>57</v>
      </c>
      <c r="B34" s="308" t="s">
        <v>57</v>
      </c>
      <c r="C34" s="274"/>
      <c r="D34" s="274"/>
      <c r="E34" s="567">
        <v>17321</v>
      </c>
      <c r="F34" s="423">
        <f t="shared" si="0"/>
        <v>6323</v>
      </c>
      <c r="G34" s="423">
        <v>23644</v>
      </c>
      <c r="H34" s="423">
        <f t="shared" si="0"/>
        <v>14460</v>
      </c>
      <c r="I34" s="423">
        <v>38104</v>
      </c>
      <c r="J34" s="423">
        <f t="shared" si="0"/>
        <v>-38104</v>
      </c>
      <c r="K34" s="21"/>
      <c r="L34" s="483"/>
      <c r="M34" s="84">
        <v>13847</v>
      </c>
      <c r="N34" s="423">
        <f t="shared" si="1"/>
        <v>1410</v>
      </c>
      <c r="O34" s="423">
        <v>15257</v>
      </c>
      <c r="P34" s="423">
        <f t="shared" si="2"/>
        <v>10158</v>
      </c>
      <c r="Q34" s="423">
        <v>25415</v>
      </c>
      <c r="R34" s="406">
        <f t="shared" si="3"/>
        <v>10005</v>
      </c>
      <c r="S34" s="21">
        <v>35420</v>
      </c>
      <c r="T34" s="274"/>
      <c r="U34" s="84">
        <v>12649</v>
      </c>
      <c r="V34" s="423">
        <v>2309</v>
      </c>
      <c r="W34" s="423">
        <v>14958</v>
      </c>
      <c r="X34" s="423">
        <v>5719</v>
      </c>
      <c r="Y34" s="423">
        <v>20677</v>
      </c>
      <c r="Z34" s="423">
        <f t="shared" si="4"/>
        <v>4374</v>
      </c>
      <c r="AA34" s="40">
        <v>25051</v>
      </c>
      <c r="AB34" s="274"/>
      <c r="AC34" s="84">
        <v>-3016</v>
      </c>
      <c r="AD34" s="423">
        <v>4552</v>
      </c>
      <c r="AE34" s="423">
        <v>1536</v>
      </c>
      <c r="AF34" s="423">
        <v>4342</v>
      </c>
      <c r="AG34" s="40">
        <v>5878</v>
      </c>
    </row>
    <row r="35" spans="1:33" outlineLevel="1" x14ac:dyDescent="0.25">
      <c r="B35" s="302" t="s">
        <v>58</v>
      </c>
      <c r="C35" s="274"/>
      <c r="D35" s="274"/>
      <c r="E35" s="569"/>
      <c r="F35" s="424"/>
      <c r="G35" s="424"/>
      <c r="H35" s="424"/>
      <c r="I35" s="424"/>
      <c r="J35" s="424"/>
      <c r="K35" s="29"/>
      <c r="L35" s="483"/>
      <c r="M35" s="85">
        <v>0</v>
      </c>
      <c r="N35" s="424">
        <f t="shared" si="1"/>
        <v>0</v>
      </c>
      <c r="O35" s="424"/>
      <c r="P35" s="424"/>
      <c r="Q35" s="424"/>
      <c r="R35" s="408">
        <f t="shared" si="3"/>
        <v>0</v>
      </c>
      <c r="S35" s="29">
        <v>0</v>
      </c>
      <c r="T35" s="274"/>
      <c r="U35" s="85">
        <v>0</v>
      </c>
      <c r="V35" s="424">
        <v>0</v>
      </c>
      <c r="W35" s="424">
        <v>0</v>
      </c>
      <c r="X35" s="424">
        <v>0</v>
      </c>
      <c r="Y35" s="424">
        <v>0</v>
      </c>
      <c r="Z35" s="424">
        <f t="shared" si="4"/>
        <v>0</v>
      </c>
      <c r="AA35" s="86">
        <v>0</v>
      </c>
      <c r="AB35" s="274"/>
      <c r="AC35" s="85">
        <v>0</v>
      </c>
      <c r="AD35" s="424">
        <v>0</v>
      </c>
      <c r="AE35" s="424">
        <v>0</v>
      </c>
      <c r="AF35" s="424">
        <v>0</v>
      </c>
      <c r="AG35" s="86">
        <v>0</v>
      </c>
    </row>
    <row r="36" spans="1:33" outlineLevel="1" x14ac:dyDescent="0.25">
      <c r="A36" s="310" t="s">
        <v>59</v>
      </c>
      <c r="B36" s="302" t="s">
        <v>59</v>
      </c>
      <c r="C36" s="274"/>
      <c r="D36" s="274"/>
      <c r="E36" s="569">
        <v>404</v>
      </c>
      <c r="F36" s="424">
        <f>G36-E36</f>
        <v>459</v>
      </c>
      <c r="G36" s="424">
        <v>863</v>
      </c>
      <c r="H36" s="424">
        <f>I36-G36</f>
        <v>424</v>
      </c>
      <c r="I36" s="424">
        <v>1287</v>
      </c>
      <c r="J36" s="424">
        <f>K36-I36</f>
        <v>-1287</v>
      </c>
      <c r="K36" s="29"/>
      <c r="L36" s="483"/>
      <c r="M36" s="85">
        <v>276</v>
      </c>
      <c r="N36" s="424">
        <f t="shared" si="1"/>
        <v>276</v>
      </c>
      <c r="O36" s="424">
        <v>552</v>
      </c>
      <c r="P36" s="424">
        <f t="shared" si="2"/>
        <v>537</v>
      </c>
      <c r="Q36" s="424">
        <v>1089</v>
      </c>
      <c r="R36" s="408">
        <f t="shared" si="3"/>
        <v>368</v>
      </c>
      <c r="S36" s="29">
        <v>1457</v>
      </c>
      <c r="T36" s="274"/>
      <c r="U36" s="85">
        <v>275</v>
      </c>
      <c r="V36" s="424">
        <v>276</v>
      </c>
      <c r="W36" s="424">
        <v>551</v>
      </c>
      <c r="X36" s="424">
        <v>275</v>
      </c>
      <c r="Y36" s="424">
        <v>826</v>
      </c>
      <c r="Z36" s="424">
        <f t="shared" si="4"/>
        <v>275</v>
      </c>
      <c r="AA36" s="86">
        <v>1101</v>
      </c>
      <c r="AB36" s="274"/>
      <c r="AC36" s="85">
        <v>90</v>
      </c>
      <c r="AD36" s="424">
        <v>271</v>
      </c>
      <c r="AE36" s="424">
        <v>361</v>
      </c>
      <c r="AF36" s="424">
        <v>273</v>
      </c>
      <c r="AG36" s="86">
        <v>634</v>
      </c>
    </row>
    <row r="37" spans="1:33" outlineLevel="1" x14ac:dyDescent="0.25">
      <c r="A37" s="310" t="s">
        <v>71</v>
      </c>
      <c r="B37" s="302" t="s">
        <v>60</v>
      </c>
      <c r="C37" s="274"/>
      <c r="D37" s="274"/>
      <c r="E37" s="569">
        <v>0</v>
      </c>
      <c r="F37" s="424">
        <f t="shared" ref="F37:J42" si="5">G37-E37</f>
        <v>0</v>
      </c>
      <c r="G37" s="424">
        <v>0</v>
      </c>
      <c r="H37" s="424">
        <f t="shared" si="5"/>
        <v>0</v>
      </c>
      <c r="I37" s="424">
        <v>0</v>
      </c>
      <c r="J37" s="424">
        <f t="shared" si="5"/>
        <v>0</v>
      </c>
      <c r="K37" s="23"/>
      <c r="L37" s="483"/>
      <c r="M37" s="85">
        <v>0</v>
      </c>
      <c r="N37" s="424">
        <f t="shared" si="1"/>
        <v>0</v>
      </c>
      <c r="O37" s="424">
        <v>0</v>
      </c>
      <c r="P37" s="424">
        <v>0</v>
      </c>
      <c r="Q37" s="424">
        <v>0</v>
      </c>
      <c r="R37" s="405">
        <f t="shared" si="3"/>
        <v>0</v>
      </c>
      <c r="S37" s="23">
        <v>0</v>
      </c>
      <c r="T37" s="274"/>
      <c r="U37" s="85">
        <v>0</v>
      </c>
      <c r="V37" s="424">
        <v>0</v>
      </c>
      <c r="W37" s="424">
        <v>0</v>
      </c>
      <c r="X37" s="424">
        <v>0</v>
      </c>
      <c r="Y37" s="424">
        <v>0</v>
      </c>
      <c r="Z37" s="424">
        <f t="shared" si="4"/>
        <v>0</v>
      </c>
      <c r="AA37" s="86">
        <v>0</v>
      </c>
      <c r="AB37" s="274"/>
      <c r="AC37" s="85">
        <v>0</v>
      </c>
      <c r="AD37" s="424">
        <v>0</v>
      </c>
      <c r="AE37" s="424">
        <v>0</v>
      </c>
      <c r="AF37" s="424">
        <v>0</v>
      </c>
      <c r="AG37" s="86">
        <v>0</v>
      </c>
    </row>
    <row r="38" spans="1:33" outlineLevel="1" x14ac:dyDescent="0.25">
      <c r="A38" s="310" t="s">
        <v>98</v>
      </c>
      <c r="B38" s="302" t="s">
        <v>62</v>
      </c>
      <c r="C38" s="274"/>
      <c r="D38" s="274"/>
      <c r="E38" s="569">
        <v>0</v>
      </c>
      <c r="F38" s="424">
        <f t="shared" si="5"/>
        <v>364</v>
      </c>
      <c r="G38" s="424">
        <v>364</v>
      </c>
      <c r="H38" s="424">
        <f t="shared" si="5"/>
        <v>28</v>
      </c>
      <c r="I38" s="424">
        <v>392</v>
      </c>
      <c r="J38" s="424">
        <f t="shared" si="5"/>
        <v>-392</v>
      </c>
      <c r="K38" s="29"/>
      <c r="L38" s="483"/>
      <c r="M38" s="85">
        <v>0</v>
      </c>
      <c r="N38" s="424">
        <f t="shared" si="1"/>
        <v>0</v>
      </c>
      <c r="O38" s="424">
        <v>0</v>
      </c>
      <c r="P38" s="424">
        <v>0</v>
      </c>
      <c r="Q38" s="424">
        <v>0</v>
      </c>
      <c r="R38" s="408">
        <f t="shared" si="3"/>
        <v>0</v>
      </c>
      <c r="S38" s="29">
        <v>0</v>
      </c>
      <c r="T38" s="274"/>
      <c r="U38" s="85">
        <v>0</v>
      </c>
      <c r="V38" s="424">
        <v>0</v>
      </c>
      <c r="W38" s="424">
        <v>0</v>
      </c>
      <c r="X38" s="424">
        <v>0</v>
      </c>
      <c r="Y38" s="424">
        <v>0</v>
      </c>
      <c r="Z38" s="424">
        <f t="shared" si="4"/>
        <v>971</v>
      </c>
      <c r="AA38" s="86">
        <v>971</v>
      </c>
      <c r="AB38" s="274"/>
      <c r="AC38" s="85">
        <v>2042</v>
      </c>
      <c r="AD38" s="424">
        <v>0</v>
      </c>
      <c r="AE38" s="424">
        <v>2042</v>
      </c>
      <c r="AF38" s="424">
        <v>0</v>
      </c>
      <c r="AG38" s="86">
        <v>2042</v>
      </c>
    </row>
    <row r="39" spans="1:33" outlineLevel="1" x14ac:dyDescent="0.25">
      <c r="B39" s="302" t="s">
        <v>63</v>
      </c>
      <c r="C39" s="274"/>
      <c r="D39" s="274"/>
      <c r="E39" s="569">
        <v>0</v>
      </c>
      <c r="F39" s="424">
        <f t="shared" si="5"/>
        <v>0</v>
      </c>
      <c r="G39" s="424">
        <v>0</v>
      </c>
      <c r="H39" s="424">
        <f t="shared" si="5"/>
        <v>0</v>
      </c>
      <c r="I39" s="424">
        <v>0</v>
      </c>
      <c r="J39" s="424">
        <f t="shared" si="5"/>
        <v>0</v>
      </c>
      <c r="K39" s="29"/>
      <c r="L39" s="483"/>
      <c r="M39" s="85">
        <v>0</v>
      </c>
      <c r="N39" s="424">
        <f t="shared" si="1"/>
        <v>0</v>
      </c>
      <c r="O39" s="424">
        <v>0</v>
      </c>
      <c r="P39" s="424">
        <v>0</v>
      </c>
      <c r="Q39" s="424">
        <v>0</v>
      </c>
      <c r="R39" s="408">
        <f t="shared" si="3"/>
        <v>0</v>
      </c>
      <c r="S39" s="29">
        <v>0</v>
      </c>
      <c r="T39" s="274"/>
      <c r="U39" s="85">
        <v>0</v>
      </c>
      <c r="V39" s="424">
        <v>0</v>
      </c>
      <c r="W39" s="424">
        <v>0</v>
      </c>
      <c r="X39" s="424">
        <v>0</v>
      </c>
      <c r="Y39" s="424">
        <v>0</v>
      </c>
      <c r="Z39" s="424">
        <f t="shared" si="4"/>
        <v>0</v>
      </c>
      <c r="AA39" s="86">
        <v>0</v>
      </c>
      <c r="AB39" s="274"/>
      <c r="AC39" s="85">
        <v>0</v>
      </c>
      <c r="AD39" s="424">
        <v>0</v>
      </c>
      <c r="AE39" s="424">
        <v>0</v>
      </c>
      <c r="AF39" s="424">
        <v>0</v>
      </c>
      <c r="AG39" s="86">
        <v>0</v>
      </c>
    </row>
    <row r="40" spans="1:33" outlineLevel="1" x14ac:dyDescent="0.25">
      <c r="A40" s="310" t="s">
        <v>157</v>
      </c>
      <c r="B40" s="302" t="s">
        <v>86</v>
      </c>
      <c r="C40" s="274"/>
      <c r="D40" s="274"/>
      <c r="E40" s="569">
        <v>0</v>
      </c>
      <c r="F40" s="424">
        <f t="shared" si="5"/>
        <v>0</v>
      </c>
      <c r="G40" s="424">
        <v>0</v>
      </c>
      <c r="H40" s="424">
        <f t="shared" si="5"/>
        <v>0</v>
      </c>
      <c r="I40" s="424">
        <v>0</v>
      </c>
      <c r="J40" s="424">
        <f t="shared" si="5"/>
        <v>0</v>
      </c>
      <c r="K40" s="29"/>
      <c r="L40" s="483"/>
      <c r="M40" s="85">
        <v>0</v>
      </c>
      <c r="N40" s="424">
        <f t="shared" si="1"/>
        <v>0</v>
      </c>
      <c r="O40" s="424">
        <v>0</v>
      </c>
      <c r="P40" s="424">
        <v>0</v>
      </c>
      <c r="Q40" s="424">
        <v>0</v>
      </c>
      <c r="R40" s="408">
        <f t="shared" si="3"/>
        <v>0</v>
      </c>
      <c r="S40" s="29">
        <v>0</v>
      </c>
      <c r="T40" s="274"/>
      <c r="U40" s="85">
        <v>500</v>
      </c>
      <c r="V40" s="424">
        <v>500</v>
      </c>
      <c r="W40" s="424">
        <v>1000</v>
      </c>
      <c r="X40" s="424">
        <v>0</v>
      </c>
      <c r="Y40" s="424">
        <v>1000</v>
      </c>
      <c r="Z40" s="424">
        <f t="shared" si="4"/>
        <v>0</v>
      </c>
      <c r="AA40" s="86">
        <v>1000</v>
      </c>
      <c r="AB40" s="274"/>
      <c r="AC40" s="85">
        <v>0</v>
      </c>
      <c r="AD40" s="424">
        <v>500</v>
      </c>
      <c r="AE40" s="424">
        <v>500</v>
      </c>
      <c r="AF40" s="424">
        <v>500</v>
      </c>
      <c r="AG40" s="86">
        <v>1000</v>
      </c>
    </row>
    <row r="41" spans="1:33" ht="17.25" outlineLevel="1" x14ac:dyDescent="0.4">
      <c r="A41" s="310" t="s">
        <v>163</v>
      </c>
      <c r="B41" s="302" t="s">
        <v>34</v>
      </c>
      <c r="C41" s="274"/>
      <c r="D41" s="274"/>
      <c r="E41" s="571">
        <v>32</v>
      </c>
      <c r="F41" s="428">
        <f t="shared" si="5"/>
        <v>-3</v>
      </c>
      <c r="G41" s="428">
        <v>29</v>
      </c>
      <c r="H41" s="428">
        <f t="shared" si="5"/>
        <v>0</v>
      </c>
      <c r="I41" s="428">
        <v>29</v>
      </c>
      <c r="J41" s="428">
        <f t="shared" si="5"/>
        <v>-29</v>
      </c>
      <c r="K41" s="33"/>
      <c r="L41" s="483"/>
      <c r="M41" s="272">
        <v>-8</v>
      </c>
      <c r="N41" s="428">
        <f t="shared" si="1"/>
        <v>-18</v>
      </c>
      <c r="O41" s="428">
        <v>-26</v>
      </c>
      <c r="P41" s="428">
        <f t="shared" si="2"/>
        <v>-1</v>
      </c>
      <c r="Q41" s="428">
        <v>-27</v>
      </c>
      <c r="R41" s="410">
        <f t="shared" si="3"/>
        <v>-46</v>
      </c>
      <c r="S41" s="33">
        <f>+-1875+1802</f>
        <v>-73</v>
      </c>
      <c r="T41" s="274"/>
      <c r="U41" s="272">
        <v>-2</v>
      </c>
      <c r="V41" s="428">
        <v>894</v>
      </c>
      <c r="W41" s="428">
        <v>892</v>
      </c>
      <c r="X41" s="428">
        <v>-11</v>
      </c>
      <c r="Y41" s="428">
        <v>881</v>
      </c>
      <c r="Z41" s="428">
        <f t="shared" si="4"/>
        <v>0</v>
      </c>
      <c r="AA41" s="273">
        <v>881</v>
      </c>
      <c r="AB41" s="274"/>
      <c r="AC41" s="272">
        <v>-40</v>
      </c>
      <c r="AD41" s="428">
        <v>-6</v>
      </c>
      <c r="AE41" s="428">
        <v>-46</v>
      </c>
      <c r="AF41" s="428">
        <v>4</v>
      </c>
      <c r="AG41" s="273">
        <v>-42</v>
      </c>
    </row>
    <row r="42" spans="1:33" x14ac:dyDescent="0.25">
      <c r="A42" s="310" t="s">
        <v>65</v>
      </c>
      <c r="B42" s="308" t="s">
        <v>65</v>
      </c>
      <c r="C42" s="274"/>
      <c r="D42" s="274"/>
      <c r="E42" s="567">
        <v>17757</v>
      </c>
      <c r="F42" s="423">
        <f t="shared" si="5"/>
        <v>7143</v>
      </c>
      <c r="G42" s="423">
        <v>24900</v>
      </c>
      <c r="H42" s="423">
        <f t="shared" si="5"/>
        <v>14912</v>
      </c>
      <c r="I42" s="423">
        <v>39812</v>
      </c>
      <c r="J42" s="423">
        <f t="shared" si="5"/>
        <v>-39812</v>
      </c>
      <c r="K42" s="21"/>
      <c r="L42" s="483"/>
      <c r="M42" s="84">
        <f>14240-125</f>
        <v>14115</v>
      </c>
      <c r="N42" s="423">
        <f t="shared" si="1"/>
        <v>1668</v>
      </c>
      <c r="O42" s="423">
        <v>15783</v>
      </c>
      <c r="P42" s="423">
        <f t="shared" si="2"/>
        <v>10694</v>
      </c>
      <c r="Q42" s="423">
        <v>26477</v>
      </c>
      <c r="R42" s="406">
        <f t="shared" si="3"/>
        <v>10327</v>
      </c>
      <c r="S42" s="21">
        <v>36804</v>
      </c>
      <c r="T42" s="274"/>
      <c r="U42" s="84">
        <v>13422</v>
      </c>
      <c r="V42" s="423">
        <v>3979</v>
      </c>
      <c r="W42" s="423">
        <v>17401</v>
      </c>
      <c r="X42" s="423">
        <v>5983</v>
      </c>
      <c r="Y42" s="423">
        <v>23384</v>
      </c>
      <c r="Z42" s="423">
        <v>5620</v>
      </c>
      <c r="AA42" s="40">
        <v>29004</v>
      </c>
      <c r="AB42" s="274"/>
      <c r="AC42" s="84">
        <v>-924</v>
      </c>
      <c r="AD42" s="423">
        <v>5317</v>
      </c>
      <c r="AE42" s="423">
        <v>4393</v>
      </c>
      <c r="AF42" s="423">
        <v>5119</v>
      </c>
      <c r="AG42" s="40">
        <v>9512</v>
      </c>
    </row>
    <row r="43" spans="1:33" x14ac:dyDescent="0.25">
      <c r="B43" s="308"/>
      <c r="C43" s="274"/>
      <c r="D43" s="274"/>
      <c r="E43" s="572"/>
      <c r="F43" s="423"/>
      <c r="G43" s="423"/>
      <c r="H43" s="423"/>
      <c r="I43" s="423"/>
      <c r="J43" s="423"/>
      <c r="K43" s="21"/>
      <c r="L43" s="483"/>
      <c r="M43" s="84"/>
      <c r="N43" s="423"/>
      <c r="O43" s="423"/>
      <c r="P43" s="423"/>
      <c r="Q43" s="423"/>
      <c r="R43" s="406"/>
      <c r="S43" s="21"/>
      <c r="T43" s="274"/>
      <c r="U43" s="84"/>
      <c r="V43" s="423"/>
      <c r="W43" s="423"/>
      <c r="X43" s="423"/>
      <c r="Y43" s="423"/>
      <c r="Z43" s="423"/>
      <c r="AA43" s="40"/>
      <c r="AB43" s="274"/>
      <c r="AC43" s="84"/>
      <c r="AD43" s="423"/>
      <c r="AE43" s="423"/>
      <c r="AF43" s="423"/>
      <c r="AG43" s="40"/>
    </row>
    <row r="44" spans="1:33" x14ac:dyDescent="0.25">
      <c r="B44" s="302"/>
      <c r="C44" s="274"/>
      <c r="D44" s="274"/>
      <c r="E44" s="572"/>
      <c r="F44" s="470"/>
      <c r="G44" s="470"/>
      <c r="H44" s="470"/>
      <c r="I44" s="470"/>
      <c r="J44" s="470"/>
      <c r="K44" s="21"/>
      <c r="L44" s="483"/>
      <c r="M44" s="471"/>
      <c r="N44" s="470"/>
      <c r="O44" s="470"/>
      <c r="P44" s="470"/>
      <c r="Q44" s="470"/>
      <c r="R44" s="406"/>
      <c r="S44" s="21"/>
      <c r="T44" s="274"/>
      <c r="U44" s="84"/>
      <c r="V44" s="423"/>
      <c r="W44" s="423"/>
      <c r="X44" s="423"/>
      <c r="Y44" s="423"/>
      <c r="Z44" s="423"/>
      <c r="AA44" s="40"/>
      <c r="AB44" s="274"/>
      <c r="AC44" s="84"/>
      <c r="AD44" s="423"/>
      <c r="AE44" s="423"/>
      <c r="AF44" s="423"/>
      <c r="AG44" s="40"/>
    </row>
    <row r="45" spans="1:33" x14ac:dyDescent="0.25">
      <c r="A45" s="310" t="s">
        <v>221</v>
      </c>
      <c r="B45" s="308" t="s">
        <v>25</v>
      </c>
      <c r="C45" s="274"/>
      <c r="D45" s="274"/>
      <c r="E45" s="572">
        <v>281862</v>
      </c>
      <c r="F45" s="423"/>
      <c r="G45" s="423">
        <v>286157</v>
      </c>
      <c r="H45" s="423"/>
      <c r="I45" s="423">
        <v>301212.87599999999</v>
      </c>
      <c r="J45" s="423"/>
      <c r="K45" s="40"/>
      <c r="L45" s="483"/>
      <c r="M45" s="84">
        <v>274137</v>
      </c>
      <c r="N45" s="423">
        <v>263826</v>
      </c>
      <c r="O45" s="423"/>
      <c r="P45" s="423"/>
      <c r="Q45" s="423">
        <v>284099</v>
      </c>
      <c r="R45" s="406"/>
      <c r="S45" s="40">
        <v>290922</v>
      </c>
      <c r="T45" s="274"/>
      <c r="U45" s="84">
        <v>213783</v>
      </c>
      <c r="V45" s="423">
        <v>203482</v>
      </c>
      <c r="W45" s="423"/>
      <c r="X45" s="423">
        <v>212635</v>
      </c>
      <c r="Y45" s="423"/>
      <c r="Z45" s="423">
        <v>276163</v>
      </c>
      <c r="AA45" s="40"/>
      <c r="AB45" s="274"/>
      <c r="AC45" s="84">
        <v>203965</v>
      </c>
      <c r="AD45" s="423">
        <v>208312</v>
      </c>
      <c r="AE45" s="470"/>
      <c r="AF45" s="423">
        <v>207018</v>
      </c>
      <c r="AG45" s="472"/>
    </row>
    <row r="46" spans="1:33" x14ac:dyDescent="0.25">
      <c r="B46" s="308"/>
      <c r="C46" s="274"/>
      <c r="D46" s="274"/>
      <c r="E46" s="572"/>
      <c r="F46" s="423"/>
      <c r="G46" s="423"/>
      <c r="H46" s="423"/>
      <c r="I46" s="423"/>
      <c r="J46" s="423"/>
      <c r="K46" s="40"/>
      <c r="L46" s="483"/>
      <c r="M46" s="84"/>
      <c r="N46" s="423"/>
      <c r="O46" s="423"/>
      <c r="P46" s="423"/>
      <c r="Q46" s="423"/>
      <c r="R46" s="406"/>
      <c r="S46" s="40"/>
      <c r="T46" s="274"/>
      <c r="U46" s="84"/>
      <c r="V46" s="423"/>
      <c r="W46" s="423"/>
      <c r="X46" s="423"/>
      <c r="Y46" s="423"/>
      <c r="Z46" s="423"/>
      <c r="AA46" s="40"/>
      <c r="AB46" s="274"/>
      <c r="AC46" s="84"/>
      <c r="AD46" s="423"/>
      <c r="AE46" s="470"/>
      <c r="AF46" s="423"/>
      <c r="AG46" s="472"/>
    </row>
    <row r="47" spans="1:33" outlineLevel="1" x14ac:dyDescent="0.25">
      <c r="A47" s="310" t="s">
        <v>222</v>
      </c>
      <c r="B47" s="587" t="s">
        <v>26</v>
      </c>
      <c r="C47" s="274"/>
      <c r="D47" s="274"/>
      <c r="E47" s="573">
        <v>86741</v>
      </c>
      <c r="F47" s="424"/>
      <c r="G47" s="424">
        <v>84969</v>
      </c>
      <c r="H47" s="424"/>
      <c r="I47" s="423">
        <v>85655.126999999993</v>
      </c>
      <c r="J47" s="424"/>
      <c r="K47" s="86"/>
      <c r="L47" s="483"/>
      <c r="M47" s="85">
        <v>94003</v>
      </c>
      <c r="N47" s="424">
        <v>86082</v>
      </c>
      <c r="O47" s="424"/>
      <c r="P47" s="424"/>
      <c r="Q47" s="424">
        <v>102591</v>
      </c>
      <c r="R47" s="406"/>
      <c r="S47" s="86">
        <v>100901</v>
      </c>
      <c r="T47" s="274"/>
      <c r="U47" s="85">
        <v>28598</v>
      </c>
      <c r="V47" s="424">
        <v>43211</v>
      </c>
      <c r="W47" s="424"/>
      <c r="X47" s="424">
        <v>41080</v>
      </c>
      <c r="Y47" s="424"/>
      <c r="Z47" s="424">
        <v>94292</v>
      </c>
      <c r="AA47" s="86"/>
      <c r="AB47" s="274"/>
      <c r="AC47" s="85">
        <v>39889</v>
      </c>
      <c r="AD47" s="424">
        <v>39895</v>
      </c>
      <c r="AE47" s="470"/>
      <c r="AF47" s="424">
        <v>35143</v>
      </c>
      <c r="AG47" s="472"/>
    </row>
    <row r="48" spans="1:33" ht="17.25" outlineLevel="1" x14ac:dyDescent="0.4">
      <c r="B48" s="302" t="s">
        <v>28</v>
      </c>
      <c r="C48" s="274"/>
      <c r="D48" s="274"/>
      <c r="E48" s="574">
        <v>21590</v>
      </c>
      <c r="F48" s="428"/>
      <c r="G48" s="428">
        <v>22638</v>
      </c>
      <c r="H48" s="428"/>
      <c r="I48" s="428">
        <f>I49-I47</f>
        <v>29877.814000000013</v>
      </c>
      <c r="J48" s="428"/>
      <c r="K48" s="273"/>
      <c r="L48" s="483"/>
      <c r="M48" s="272">
        <v>22594</v>
      </c>
      <c r="N48" s="428">
        <v>21918</v>
      </c>
      <c r="O48" s="428"/>
      <c r="P48" s="428"/>
      <c r="Q48" s="428">
        <v>20915</v>
      </c>
      <c r="R48" s="408"/>
      <c r="S48" s="273">
        <v>25908</v>
      </c>
      <c r="T48" s="274"/>
      <c r="U48" s="272">
        <v>19533</v>
      </c>
      <c r="V48" s="428">
        <v>16940</v>
      </c>
      <c r="W48" s="428"/>
      <c r="X48" s="428">
        <v>25713</v>
      </c>
      <c r="Y48" s="428"/>
      <c r="Z48" s="428">
        <v>31120</v>
      </c>
      <c r="AA48" s="273"/>
      <c r="AB48" s="274"/>
      <c r="AC48" s="272">
        <v>8311</v>
      </c>
      <c r="AD48" s="428">
        <v>11400</v>
      </c>
      <c r="AE48" s="470"/>
      <c r="AF48" s="428">
        <v>14026</v>
      </c>
      <c r="AG48" s="472"/>
    </row>
    <row r="49" spans="1:33" x14ac:dyDescent="0.25">
      <c r="A49" s="310" t="s">
        <v>223</v>
      </c>
      <c r="B49" s="308" t="s">
        <v>29</v>
      </c>
      <c r="C49" s="274"/>
      <c r="D49" s="274"/>
      <c r="E49" s="572">
        <v>108331</v>
      </c>
      <c r="F49" s="423"/>
      <c r="G49" s="423">
        <v>107607</v>
      </c>
      <c r="H49" s="423"/>
      <c r="I49" s="423">
        <v>115532.94100000001</v>
      </c>
      <c r="J49" s="423"/>
      <c r="K49" s="40"/>
      <c r="L49" s="483"/>
      <c r="M49" s="84">
        <v>116597</v>
      </c>
      <c r="N49" s="423">
        <v>108000</v>
      </c>
      <c r="O49" s="423"/>
      <c r="P49" s="423"/>
      <c r="Q49" s="423">
        <v>123506</v>
      </c>
      <c r="R49" s="409"/>
      <c r="S49" s="40">
        <v>126809</v>
      </c>
      <c r="T49" s="274"/>
      <c r="U49" s="84">
        <v>48131</v>
      </c>
      <c r="V49" s="423">
        <v>60151</v>
      </c>
      <c r="W49" s="423"/>
      <c r="X49" s="423">
        <v>66793</v>
      </c>
      <c r="Y49" s="423"/>
      <c r="Z49" s="423">
        <v>125412</v>
      </c>
      <c r="AA49" s="40"/>
      <c r="AB49" s="274"/>
      <c r="AC49" s="84">
        <v>48200</v>
      </c>
      <c r="AD49" s="423">
        <v>51295</v>
      </c>
      <c r="AE49" s="470"/>
      <c r="AF49" s="423">
        <v>49169</v>
      </c>
      <c r="AG49" s="472"/>
    </row>
    <row r="50" spans="1:33" x14ac:dyDescent="0.25">
      <c r="B50" s="308"/>
      <c r="C50" s="274"/>
      <c r="D50" s="274"/>
      <c r="E50" s="572"/>
      <c r="F50" s="423"/>
      <c r="G50" s="423"/>
      <c r="H50" s="423"/>
      <c r="I50" s="423"/>
      <c r="J50" s="423"/>
      <c r="K50" s="40"/>
      <c r="L50" s="483"/>
      <c r="M50" s="84"/>
      <c r="N50" s="423"/>
      <c r="O50" s="423"/>
      <c r="P50" s="423"/>
      <c r="Q50" s="423"/>
      <c r="R50" s="406"/>
      <c r="S50" s="40"/>
      <c r="T50" s="274"/>
      <c r="U50" s="84"/>
      <c r="V50" s="423"/>
      <c r="W50" s="423"/>
      <c r="X50" s="423"/>
      <c r="Y50" s="423"/>
      <c r="Z50" s="423"/>
      <c r="AA50" s="40"/>
      <c r="AB50" s="274"/>
      <c r="AC50" s="84"/>
      <c r="AD50" s="423"/>
      <c r="AE50" s="470"/>
      <c r="AF50" s="423"/>
      <c r="AG50" s="472"/>
    </row>
    <row r="51" spans="1:33" x14ac:dyDescent="0.25">
      <c r="A51" s="310" t="s">
        <v>224</v>
      </c>
      <c r="B51" s="308" t="s">
        <v>36</v>
      </c>
      <c r="C51" s="274"/>
      <c r="D51" s="274"/>
      <c r="E51" s="572">
        <v>173531</v>
      </c>
      <c r="F51" s="423"/>
      <c r="G51" s="423">
        <v>178550</v>
      </c>
      <c r="H51" s="423"/>
      <c r="I51" s="423">
        <v>185679.93709999998</v>
      </c>
      <c r="J51" s="423"/>
      <c r="K51" s="40"/>
      <c r="L51" s="483"/>
      <c r="M51" s="84">
        <v>157540</v>
      </c>
      <c r="N51" s="423">
        <v>155826</v>
      </c>
      <c r="O51" s="423"/>
      <c r="P51" s="423"/>
      <c r="Q51" s="423">
        <v>160593</v>
      </c>
      <c r="R51" s="406"/>
      <c r="S51" s="40">
        <v>164113</v>
      </c>
      <c r="T51" s="274"/>
      <c r="U51" s="84">
        <v>165652</v>
      </c>
      <c r="V51" s="423">
        <v>143331</v>
      </c>
      <c r="W51" s="423"/>
      <c r="X51" s="423">
        <v>145842</v>
      </c>
      <c r="Y51" s="423"/>
      <c r="Z51" s="423">
        <v>150751</v>
      </c>
      <c r="AA51" s="40"/>
      <c r="AB51" s="274"/>
      <c r="AC51" s="84">
        <v>155765</v>
      </c>
      <c r="AD51" s="423">
        <v>157017</v>
      </c>
      <c r="AE51" s="470"/>
      <c r="AF51" s="423">
        <v>157849</v>
      </c>
      <c r="AG51" s="472"/>
    </row>
    <row r="52" spans="1:33" x14ac:dyDescent="0.25">
      <c r="B52" s="302"/>
      <c r="C52" s="274"/>
      <c r="D52" s="274"/>
      <c r="E52" s="575"/>
      <c r="F52" s="274"/>
      <c r="G52" s="274"/>
      <c r="H52" s="274"/>
      <c r="I52" s="274"/>
      <c r="J52" s="274"/>
      <c r="K52" s="315"/>
      <c r="L52" s="483"/>
      <c r="M52" s="304"/>
      <c r="N52" s="274"/>
      <c r="O52" s="274"/>
      <c r="P52" s="274"/>
      <c r="Q52" s="274"/>
      <c r="R52" s="406"/>
      <c r="S52" s="315"/>
      <c r="T52" s="274"/>
      <c r="U52" s="304"/>
      <c r="V52" s="274"/>
      <c r="W52" s="274"/>
      <c r="X52" s="274"/>
      <c r="Y52" s="274"/>
      <c r="Z52" s="274"/>
      <c r="AA52" s="315"/>
      <c r="AB52" s="274"/>
      <c r="AC52" s="304"/>
      <c r="AD52" s="274"/>
      <c r="AE52" s="470"/>
      <c r="AF52" s="470"/>
      <c r="AG52" s="472"/>
    </row>
    <row r="53" spans="1:33" x14ac:dyDescent="0.25">
      <c r="A53" s="310" t="s">
        <v>231</v>
      </c>
      <c r="B53" s="308" t="s">
        <v>66</v>
      </c>
      <c r="C53" s="274"/>
      <c r="D53" s="274"/>
      <c r="E53" s="575">
        <v>1183</v>
      </c>
      <c r="F53" s="423">
        <f>G53-E53</f>
        <v>1753</v>
      </c>
      <c r="G53" s="423">
        <v>2936</v>
      </c>
      <c r="H53" s="423">
        <f>I53-G53</f>
        <v>2175</v>
      </c>
      <c r="I53" s="454">
        <v>5111</v>
      </c>
      <c r="J53" s="423">
        <f>K53-I53</f>
        <v>-5111</v>
      </c>
      <c r="K53" s="40"/>
      <c r="L53" s="483"/>
      <c r="M53" s="84">
        <v>526</v>
      </c>
      <c r="N53" s="423">
        <f>O53-M53</f>
        <v>1207</v>
      </c>
      <c r="O53" s="423">
        <v>1733</v>
      </c>
      <c r="P53" s="423"/>
      <c r="Q53" s="423">
        <v>2208</v>
      </c>
      <c r="R53" s="406"/>
      <c r="S53" s="40">
        <v>2393</v>
      </c>
      <c r="T53" s="274"/>
      <c r="U53" s="84">
        <v>614</v>
      </c>
      <c r="V53" s="423">
        <v>1190</v>
      </c>
      <c r="W53" s="423">
        <v>1804</v>
      </c>
      <c r="X53" s="423">
        <v>2292</v>
      </c>
      <c r="Y53" s="423">
        <v>4096</v>
      </c>
      <c r="Z53" s="423">
        <f>AA53-Y53</f>
        <v>876</v>
      </c>
      <c r="AA53" s="40">
        <v>4972</v>
      </c>
      <c r="AB53" s="274"/>
      <c r="AC53" s="84">
        <v>51</v>
      </c>
      <c r="AD53" s="423">
        <v>169</v>
      </c>
      <c r="AE53" s="429">
        <v>220</v>
      </c>
      <c r="AF53" s="429">
        <v>629</v>
      </c>
      <c r="AG53" s="332">
        <v>849</v>
      </c>
    </row>
    <row r="54" spans="1:33" x14ac:dyDescent="0.25">
      <c r="B54" s="308"/>
      <c r="C54" s="274"/>
      <c r="D54" s="274"/>
      <c r="E54" s="575"/>
      <c r="F54" s="429"/>
      <c r="G54" s="423"/>
      <c r="H54" s="429"/>
      <c r="I54" s="445"/>
      <c r="J54" s="429"/>
      <c r="K54" s="332"/>
      <c r="L54" s="483"/>
      <c r="M54" s="473"/>
      <c r="N54" s="429"/>
      <c r="O54" s="429"/>
      <c r="P54" s="429"/>
      <c r="Q54" s="429"/>
      <c r="R54" s="454"/>
      <c r="S54" s="332"/>
      <c r="T54" s="274"/>
      <c r="U54" s="473"/>
      <c r="V54" s="429"/>
      <c r="W54" s="429"/>
      <c r="X54" s="429"/>
      <c r="Y54" s="429"/>
      <c r="Z54" s="429"/>
      <c r="AA54" s="332"/>
      <c r="AB54" s="274"/>
      <c r="AC54" s="473"/>
      <c r="AD54" s="429"/>
      <c r="AE54" s="429"/>
      <c r="AF54" s="429"/>
      <c r="AG54" s="332"/>
    </row>
    <row r="55" spans="1:33" x14ac:dyDescent="0.25">
      <c r="A55" s="310" t="s">
        <v>232</v>
      </c>
      <c r="B55" s="419" t="s">
        <v>170</v>
      </c>
      <c r="C55" s="274"/>
      <c r="D55" s="274"/>
      <c r="E55" s="575">
        <v>0</v>
      </c>
      <c r="F55" s="423">
        <f>G55-E55</f>
        <v>0</v>
      </c>
      <c r="G55" s="423">
        <v>0</v>
      </c>
      <c r="H55" s="423">
        <f>I55-G55</f>
        <v>0</v>
      </c>
      <c r="I55" s="445">
        <v>0</v>
      </c>
      <c r="J55" s="423">
        <f>K55-I55</f>
        <v>0</v>
      </c>
      <c r="K55" s="332"/>
      <c r="L55" s="483"/>
      <c r="M55" s="473">
        <v>0</v>
      </c>
      <c r="N55" s="429"/>
      <c r="O55" s="429"/>
      <c r="P55" s="429"/>
      <c r="Q55" s="429"/>
      <c r="R55" s="454"/>
      <c r="S55" s="332"/>
      <c r="T55" s="274"/>
      <c r="U55" s="473">
        <v>0</v>
      </c>
      <c r="V55" s="423">
        <v>0</v>
      </c>
      <c r="W55" s="429">
        <v>0</v>
      </c>
      <c r="X55" s="429">
        <v>886</v>
      </c>
      <c r="Y55" s="429">
        <v>886</v>
      </c>
      <c r="Z55" s="429">
        <f>AA55-Y55</f>
        <v>906</v>
      </c>
      <c r="AA55" s="332">
        <v>1792</v>
      </c>
      <c r="AB55" s="274"/>
      <c r="AC55" s="473">
        <v>0</v>
      </c>
      <c r="AD55" s="429">
        <v>0</v>
      </c>
      <c r="AE55" s="429">
        <v>0</v>
      </c>
      <c r="AF55" s="429">
        <v>0</v>
      </c>
      <c r="AG55" s="332">
        <v>0</v>
      </c>
    </row>
    <row r="56" spans="1:33" x14ac:dyDescent="0.25">
      <c r="B56" s="308"/>
      <c r="C56" s="274"/>
      <c r="D56" s="274"/>
      <c r="E56" s="304"/>
      <c r="F56" s="274"/>
      <c r="G56" s="274"/>
      <c r="H56" s="274"/>
      <c r="I56" s="274"/>
      <c r="J56" s="454"/>
      <c r="K56" s="372"/>
      <c r="L56" s="483"/>
      <c r="M56" s="304"/>
      <c r="N56" s="274"/>
      <c r="O56" s="274"/>
      <c r="P56" s="274"/>
      <c r="Q56" s="274"/>
      <c r="R56" s="454"/>
      <c r="S56" s="372"/>
      <c r="T56" s="274"/>
      <c r="U56" s="304"/>
      <c r="V56" s="274"/>
      <c r="W56" s="274"/>
      <c r="X56" s="274"/>
      <c r="Y56" s="274"/>
      <c r="Z56" s="274"/>
      <c r="AA56" s="315"/>
      <c r="AB56" s="274"/>
      <c r="AC56" s="304"/>
      <c r="AD56" s="274"/>
      <c r="AE56" s="274"/>
      <c r="AF56" s="274"/>
      <c r="AG56" s="315"/>
    </row>
    <row r="57" spans="1:33" x14ac:dyDescent="0.25">
      <c r="B57" s="309" t="s">
        <v>67</v>
      </c>
      <c r="C57" s="274"/>
      <c r="D57" s="274"/>
      <c r="E57" s="304"/>
      <c r="F57" s="274"/>
      <c r="G57" s="274"/>
      <c r="H57" s="274"/>
      <c r="I57" s="274"/>
      <c r="J57" s="274"/>
      <c r="K57" s="315"/>
      <c r="L57" s="483"/>
      <c r="M57" s="304"/>
      <c r="N57" s="274"/>
      <c r="O57" s="274"/>
      <c r="P57" s="274"/>
      <c r="Q57" s="274"/>
      <c r="R57" s="274"/>
      <c r="S57" s="315"/>
      <c r="T57" s="274"/>
      <c r="U57" s="304"/>
      <c r="V57" s="274"/>
      <c r="W57" s="274"/>
      <c r="X57" s="274"/>
      <c r="Y57" s="274"/>
      <c r="Z57" s="274"/>
      <c r="AA57" s="315"/>
      <c r="AB57" s="274"/>
      <c r="AC57" s="304"/>
      <c r="AD57" s="274"/>
      <c r="AE57" s="274"/>
      <c r="AF57" s="274"/>
      <c r="AG57" s="315"/>
    </row>
    <row r="58" spans="1:33" x14ac:dyDescent="0.25">
      <c r="B58" s="308" t="s">
        <v>68</v>
      </c>
      <c r="C58" s="274"/>
      <c r="D58" s="274"/>
      <c r="E58" s="304"/>
      <c r="F58" s="274"/>
      <c r="G58" s="274"/>
      <c r="H58" s="274"/>
      <c r="I58" s="274"/>
      <c r="J58" s="274"/>
      <c r="K58" s="555"/>
      <c r="L58" s="483"/>
      <c r="M58" s="304"/>
      <c r="N58" s="274"/>
      <c r="O58" s="274"/>
      <c r="P58" s="274"/>
      <c r="Q58" s="274"/>
      <c r="R58" s="274"/>
      <c r="S58" s="555">
        <v>0.91</v>
      </c>
      <c r="T58" s="274"/>
      <c r="U58" s="304"/>
      <c r="V58" s="274"/>
      <c r="W58" s="274"/>
      <c r="X58" s="274"/>
      <c r="Y58" s="274"/>
      <c r="Z58" s="47">
        <v>0.91100000000000003</v>
      </c>
      <c r="AA58" s="315"/>
      <c r="AB58" s="274"/>
      <c r="AC58" s="304"/>
      <c r="AD58" s="274"/>
      <c r="AE58" s="274"/>
      <c r="AF58" s="47">
        <v>0.92200000000000004</v>
      </c>
      <c r="AG58" s="315"/>
    </row>
    <row r="59" spans="1:33" ht="15.75" thickBot="1" x14ac:dyDescent="0.3">
      <c r="B59" s="334" t="s">
        <v>69</v>
      </c>
      <c r="C59" s="274"/>
      <c r="D59" s="274"/>
      <c r="E59" s="362"/>
      <c r="F59" s="320"/>
      <c r="G59" s="320"/>
      <c r="H59" s="320"/>
      <c r="I59" s="320"/>
      <c r="J59" s="320"/>
      <c r="K59" s="556"/>
      <c r="L59" s="483"/>
      <c r="M59" s="362"/>
      <c r="N59" s="320"/>
      <c r="O59" s="320"/>
      <c r="P59" s="320"/>
      <c r="Q59" s="320"/>
      <c r="R59" s="320"/>
      <c r="S59" s="556">
        <v>0.82099999999999995</v>
      </c>
      <c r="T59" s="274"/>
      <c r="U59" s="362"/>
      <c r="V59" s="320"/>
      <c r="W59" s="320"/>
      <c r="X59" s="320"/>
      <c r="Y59" s="320"/>
      <c r="Z59" s="58">
        <v>0.82799999999999996</v>
      </c>
      <c r="AA59" s="312"/>
      <c r="AB59" s="274"/>
      <c r="AC59" s="362"/>
      <c r="AD59" s="320"/>
      <c r="AE59" s="320"/>
      <c r="AF59" s="58">
        <v>0.83799999999999997</v>
      </c>
      <c r="AG59" s="312"/>
    </row>
    <row r="61" spans="1:33" hidden="1" outlineLevel="1" x14ac:dyDescent="0.25">
      <c r="B61" s="275" t="s">
        <v>37</v>
      </c>
      <c r="E61" s="276">
        <f t="shared" ref="E61:K61" si="6">E15-E16-E17</f>
        <v>0</v>
      </c>
      <c r="F61" s="276">
        <f t="shared" si="6"/>
        <v>0</v>
      </c>
      <c r="G61" s="276">
        <f t="shared" si="6"/>
        <v>0</v>
      </c>
      <c r="H61" s="276">
        <f t="shared" si="6"/>
        <v>0</v>
      </c>
      <c r="I61" s="276">
        <f t="shared" si="6"/>
        <v>0</v>
      </c>
      <c r="J61" s="276">
        <f t="shared" si="6"/>
        <v>0</v>
      </c>
      <c r="K61" s="276">
        <f t="shared" si="6"/>
        <v>0</v>
      </c>
      <c r="M61" s="276">
        <f t="shared" ref="M61:S61" si="7">M15-M16-M17</f>
        <v>0</v>
      </c>
      <c r="N61" s="276">
        <f t="shared" si="7"/>
        <v>0</v>
      </c>
      <c r="O61" s="276">
        <f t="shared" si="7"/>
        <v>0</v>
      </c>
      <c r="P61" s="276">
        <f t="shared" si="7"/>
        <v>0</v>
      </c>
      <c r="Q61" s="276">
        <f t="shared" si="7"/>
        <v>0</v>
      </c>
      <c r="R61" s="276">
        <f t="shared" si="7"/>
        <v>0</v>
      </c>
      <c r="S61" s="276">
        <f t="shared" si="7"/>
        <v>0</v>
      </c>
      <c r="U61" s="276">
        <f t="shared" ref="U61:AA61" si="8">U15-U16-U17</f>
        <v>0</v>
      </c>
      <c r="V61" s="276">
        <f t="shared" si="8"/>
        <v>0</v>
      </c>
      <c r="W61" s="276">
        <f t="shared" si="8"/>
        <v>0</v>
      </c>
      <c r="X61" s="276">
        <f t="shared" si="8"/>
        <v>0</v>
      </c>
      <c r="Y61" s="276">
        <f t="shared" si="8"/>
        <v>0</v>
      </c>
      <c r="Z61" s="276">
        <f t="shared" si="8"/>
        <v>0</v>
      </c>
      <c r="AA61" s="276">
        <f t="shared" si="8"/>
        <v>0</v>
      </c>
      <c r="AC61" s="276">
        <f>AC15-AC16-AC17</f>
        <v>0</v>
      </c>
      <c r="AD61" s="276">
        <f>AD15-AD16-AD17</f>
        <v>0</v>
      </c>
      <c r="AE61" s="276">
        <f>AE15-AE16-AE17</f>
        <v>0</v>
      </c>
      <c r="AF61" s="276">
        <f>AF15-AF16-AF17</f>
        <v>0</v>
      </c>
      <c r="AG61" s="276">
        <f>AG15-AG16-AG17</f>
        <v>0</v>
      </c>
    </row>
    <row r="62" spans="1:33" hidden="1" outlineLevel="1" x14ac:dyDescent="0.25">
      <c r="B62" s="277" t="s">
        <v>38</v>
      </c>
      <c r="E62" s="276">
        <f t="shared" ref="E62:K62" si="9">E17-SUM(E18:E21)-E22</f>
        <v>0</v>
      </c>
      <c r="F62" s="276">
        <f t="shared" si="9"/>
        <v>0</v>
      </c>
      <c r="G62" s="276">
        <f>G17-SUM(G18:G21)-G22</f>
        <v>0</v>
      </c>
      <c r="H62" s="276">
        <f t="shared" si="9"/>
        <v>0</v>
      </c>
      <c r="I62" s="276">
        <f t="shared" si="9"/>
        <v>0</v>
      </c>
      <c r="J62" s="276">
        <f t="shared" si="9"/>
        <v>0</v>
      </c>
      <c r="K62" s="276">
        <f t="shared" si="9"/>
        <v>0</v>
      </c>
      <c r="M62" s="276">
        <f t="shared" ref="M62:S62" si="10">M17-SUM(M18:M21)-M22</f>
        <v>0</v>
      </c>
      <c r="N62" s="276">
        <f t="shared" si="10"/>
        <v>0</v>
      </c>
      <c r="O62" s="276">
        <f t="shared" si="10"/>
        <v>0</v>
      </c>
      <c r="P62" s="276">
        <f t="shared" si="10"/>
        <v>0</v>
      </c>
      <c r="Q62" s="276">
        <f t="shared" si="10"/>
        <v>0</v>
      </c>
      <c r="R62" s="276">
        <f t="shared" si="10"/>
        <v>0</v>
      </c>
      <c r="S62" s="276">
        <f t="shared" si="10"/>
        <v>0</v>
      </c>
      <c r="U62" s="276">
        <f t="shared" ref="U62:AA62" si="11">U17-SUM(U18:U21)-U22</f>
        <v>0</v>
      </c>
      <c r="V62" s="276">
        <f t="shared" si="11"/>
        <v>0</v>
      </c>
      <c r="W62" s="276">
        <f t="shared" si="11"/>
        <v>0</v>
      </c>
      <c r="X62" s="276">
        <f t="shared" si="11"/>
        <v>0</v>
      </c>
      <c r="Y62" s="276">
        <f t="shared" si="11"/>
        <v>0</v>
      </c>
      <c r="Z62" s="276">
        <f t="shared" si="11"/>
        <v>0</v>
      </c>
      <c r="AA62" s="276">
        <f t="shared" si="11"/>
        <v>0</v>
      </c>
      <c r="AC62" s="276">
        <f>AC17-SUM(AC18:AC21)-AC22</f>
        <v>0</v>
      </c>
      <c r="AD62" s="276">
        <f>AD17-SUM(AD18:AD21)-AD22</f>
        <v>0</v>
      </c>
      <c r="AE62" s="276">
        <f>AE17-SUM(AE18:AE21)-AE22</f>
        <v>0</v>
      </c>
      <c r="AF62" s="276">
        <f>AF17-SUM(AF18:AF21)-AF22</f>
        <v>0</v>
      </c>
      <c r="AG62" s="276">
        <f>AG17-SUM(AG18:AG21)-AG22</f>
        <v>0</v>
      </c>
    </row>
    <row r="63" spans="1:33" hidden="1" outlineLevel="1" x14ac:dyDescent="0.25">
      <c r="B63" s="277" t="s">
        <v>24</v>
      </c>
      <c r="E63" s="276">
        <f t="shared" ref="E63:K63" si="12">E22-SUM(E23:E26)-E27</f>
        <v>0</v>
      </c>
      <c r="F63" s="276">
        <f t="shared" si="12"/>
        <v>0</v>
      </c>
      <c r="G63" s="276">
        <f>G22-SUM(G23:G26)-G27</f>
        <v>0</v>
      </c>
      <c r="H63" s="276">
        <f t="shared" si="12"/>
        <v>0</v>
      </c>
      <c r="I63" s="276">
        <f t="shared" si="12"/>
        <v>0</v>
      </c>
      <c r="J63" s="276">
        <f t="shared" si="12"/>
        <v>0</v>
      </c>
      <c r="K63" s="276">
        <f t="shared" si="12"/>
        <v>0</v>
      </c>
      <c r="M63" s="276">
        <f t="shared" ref="M63:S63" si="13">M22-SUM(M23:M26)-M27</f>
        <v>0</v>
      </c>
      <c r="N63" s="276">
        <f t="shared" si="13"/>
        <v>0.38999999999941792</v>
      </c>
      <c r="O63" s="276">
        <f t="shared" si="13"/>
        <v>0.38999999999941792</v>
      </c>
      <c r="P63" s="276">
        <f t="shared" si="13"/>
        <v>-0.38999999999941792</v>
      </c>
      <c r="Q63" s="276">
        <f t="shared" si="13"/>
        <v>0</v>
      </c>
      <c r="R63" s="276">
        <f t="shared" si="13"/>
        <v>0</v>
      </c>
      <c r="S63" s="276">
        <f t="shared" si="13"/>
        <v>0</v>
      </c>
      <c r="U63" s="276">
        <f t="shared" ref="U63:AA63" si="14">U22-SUM(U23:U26)-U27</f>
        <v>0</v>
      </c>
      <c r="V63" s="276">
        <f t="shared" si="14"/>
        <v>0</v>
      </c>
      <c r="W63" s="276">
        <f t="shared" si="14"/>
        <v>0</v>
      </c>
      <c r="X63" s="276">
        <f t="shared" si="14"/>
        <v>0</v>
      </c>
      <c r="Y63" s="276">
        <f t="shared" si="14"/>
        <v>0</v>
      </c>
      <c r="Z63" s="276">
        <f t="shared" si="14"/>
        <v>0</v>
      </c>
      <c r="AA63" s="276">
        <f t="shared" si="14"/>
        <v>0</v>
      </c>
      <c r="AC63" s="276">
        <f>AC22-SUM(AC23:AC26)-AC27</f>
        <v>0</v>
      </c>
      <c r="AD63" s="276">
        <f>AD22-SUM(AD23:AD26)-AD27</f>
        <v>0</v>
      </c>
      <c r="AE63" s="276">
        <f>AE22-SUM(AE23:AE26)-AE27</f>
        <v>0</v>
      </c>
      <c r="AF63" s="276">
        <f>AF22-SUM(AF23:AF26)-AF27</f>
        <v>0</v>
      </c>
      <c r="AG63" s="276">
        <f>AG22-SUM(AG23:AG26)-AG27</f>
        <v>0</v>
      </c>
    </row>
    <row r="64" spans="1:33" hidden="1" outlineLevel="1" x14ac:dyDescent="0.25">
      <c r="B64" s="277" t="s">
        <v>57</v>
      </c>
      <c r="E64" s="276">
        <f t="shared" ref="E64:K64" si="15">SUM(E27:E33)-E34</f>
        <v>0</v>
      </c>
      <c r="F64" s="276">
        <f t="shared" si="15"/>
        <v>0</v>
      </c>
      <c r="G64" s="276">
        <f t="shared" si="15"/>
        <v>0</v>
      </c>
      <c r="H64" s="276">
        <f t="shared" si="15"/>
        <v>0</v>
      </c>
      <c r="I64" s="276">
        <f t="shared" si="15"/>
        <v>0</v>
      </c>
      <c r="J64" s="276">
        <f t="shared" si="15"/>
        <v>0</v>
      </c>
      <c r="K64" s="276">
        <f t="shared" si="15"/>
        <v>0</v>
      </c>
      <c r="M64" s="276">
        <f t="shared" ref="M64:S64" si="16">SUM(M27:M33)-M34</f>
        <v>0</v>
      </c>
      <c r="N64" s="276">
        <f t="shared" si="16"/>
        <v>0</v>
      </c>
      <c r="O64" s="276">
        <f t="shared" si="16"/>
        <v>0</v>
      </c>
      <c r="P64" s="276">
        <f t="shared" si="16"/>
        <v>0</v>
      </c>
      <c r="Q64" s="276">
        <f t="shared" si="16"/>
        <v>0</v>
      </c>
      <c r="R64" s="276">
        <f t="shared" si="16"/>
        <v>0</v>
      </c>
      <c r="S64" s="276">
        <f t="shared" si="16"/>
        <v>0</v>
      </c>
      <c r="U64" s="276">
        <f t="shared" ref="U64:AA64" si="17">SUM(U27:U33)-U34</f>
        <v>0</v>
      </c>
      <c r="V64" s="276">
        <f t="shared" si="17"/>
        <v>0</v>
      </c>
      <c r="W64" s="276">
        <f t="shared" si="17"/>
        <v>0</v>
      </c>
      <c r="X64" s="276">
        <f t="shared" si="17"/>
        <v>0</v>
      </c>
      <c r="Y64" s="276">
        <f t="shared" si="17"/>
        <v>0</v>
      </c>
      <c r="Z64" s="276">
        <f t="shared" si="17"/>
        <v>0</v>
      </c>
      <c r="AA64" s="276">
        <f t="shared" si="17"/>
        <v>0</v>
      </c>
      <c r="AC64" s="276">
        <f>SUM(AC27:AC33)-AC34</f>
        <v>0</v>
      </c>
      <c r="AD64" s="276">
        <f>SUM(AD27:AD33)-AD34</f>
        <v>0</v>
      </c>
      <c r="AE64" s="276">
        <f>SUM(AE27:AE33)-AE34</f>
        <v>0</v>
      </c>
      <c r="AF64" s="276">
        <f>SUM(AF27:AF33)-AF34</f>
        <v>0</v>
      </c>
      <c r="AG64" s="276">
        <f>SUM(AG27:AG33)-AG34</f>
        <v>0</v>
      </c>
    </row>
    <row r="65" spans="1:33" hidden="1" outlineLevel="1" x14ac:dyDescent="0.25">
      <c r="B65" s="277" t="s">
        <v>147</v>
      </c>
      <c r="E65" s="276">
        <f t="shared" ref="E65:K65" si="18">SUM(E34:E41)-E42</f>
        <v>0</v>
      </c>
      <c r="F65" s="276">
        <f t="shared" si="18"/>
        <v>0</v>
      </c>
      <c r="G65" s="276">
        <f t="shared" si="18"/>
        <v>0</v>
      </c>
      <c r="H65" s="276">
        <f t="shared" si="18"/>
        <v>0</v>
      </c>
      <c r="I65" s="276">
        <f t="shared" si="18"/>
        <v>0</v>
      </c>
      <c r="J65" s="276">
        <f t="shared" si="18"/>
        <v>0</v>
      </c>
      <c r="K65" s="276">
        <f t="shared" si="18"/>
        <v>0</v>
      </c>
      <c r="M65" s="276">
        <f t="shared" ref="M65:S65" si="19">SUM(M34:M41)-M42</f>
        <v>0</v>
      </c>
      <c r="N65" s="276">
        <f t="shared" si="19"/>
        <v>0</v>
      </c>
      <c r="O65" s="276">
        <f t="shared" si="19"/>
        <v>0</v>
      </c>
      <c r="P65" s="276">
        <f t="shared" si="19"/>
        <v>0</v>
      </c>
      <c r="Q65" s="276">
        <f t="shared" si="19"/>
        <v>0</v>
      </c>
      <c r="R65" s="276">
        <f t="shared" si="19"/>
        <v>0</v>
      </c>
      <c r="S65" s="276">
        <f t="shared" si="19"/>
        <v>0</v>
      </c>
      <c r="U65" s="276">
        <f t="shared" ref="U65:AA65" si="20">SUM(U34:U41)-U42</f>
        <v>0</v>
      </c>
      <c r="V65" s="276">
        <f t="shared" si="20"/>
        <v>0</v>
      </c>
      <c r="W65" s="276">
        <f t="shared" si="20"/>
        <v>0</v>
      </c>
      <c r="X65" s="276">
        <f t="shared" si="20"/>
        <v>0</v>
      </c>
      <c r="Y65" s="276">
        <f t="shared" si="20"/>
        <v>0</v>
      </c>
      <c r="Z65" s="276">
        <f t="shared" si="20"/>
        <v>0</v>
      </c>
      <c r="AA65" s="276">
        <f t="shared" si="20"/>
        <v>0</v>
      </c>
      <c r="AC65" s="276">
        <f>SUM(AC34:AC41)-AC42</f>
        <v>0</v>
      </c>
      <c r="AD65" s="276">
        <f>SUM(AD34:AD41)-AD42</f>
        <v>0</v>
      </c>
      <c r="AE65" s="276">
        <f>SUM(AE34:AE41)-AE42</f>
        <v>0</v>
      </c>
      <c r="AF65" s="276">
        <f>SUM(AF34:AF41)-AF42</f>
        <v>0</v>
      </c>
      <c r="AG65" s="276">
        <f>SUM(AG34:AG41)-AG42</f>
        <v>0</v>
      </c>
    </row>
    <row r="66" spans="1:33" hidden="1" outlineLevel="1" x14ac:dyDescent="0.25">
      <c r="B66" s="277" t="s">
        <v>39</v>
      </c>
      <c r="E66" s="276">
        <f t="shared" ref="E66:K66" si="21">SUM(E47:E48)-E49</f>
        <v>0</v>
      </c>
      <c r="F66" s="276">
        <f t="shared" si="21"/>
        <v>0</v>
      </c>
      <c r="G66" s="276">
        <f t="shared" si="21"/>
        <v>0</v>
      </c>
      <c r="H66" s="276">
        <f t="shared" si="21"/>
        <v>0</v>
      </c>
      <c r="I66" s="276">
        <f t="shared" si="21"/>
        <v>0</v>
      </c>
      <c r="J66" s="276">
        <f t="shared" si="21"/>
        <v>0</v>
      </c>
      <c r="K66" s="276">
        <f t="shared" si="21"/>
        <v>0</v>
      </c>
      <c r="M66" s="276">
        <f t="shared" ref="M66:S66" si="22">SUM(M47:M48)-M49</f>
        <v>0</v>
      </c>
      <c r="N66" s="276">
        <f t="shared" si="22"/>
        <v>0</v>
      </c>
      <c r="O66" s="276">
        <f t="shared" si="22"/>
        <v>0</v>
      </c>
      <c r="P66" s="276">
        <f t="shared" si="22"/>
        <v>0</v>
      </c>
      <c r="Q66" s="276">
        <f t="shared" si="22"/>
        <v>0</v>
      </c>
      <c r="R66" s="276">
        <f t="shared" si="22"/>
        <v>0</v>
      </c>
      <c r="S66" s="276">
        <f t="shared" si="22"/>
        <v>0</v>
      </c>
      <c r="U66" s="276">
        <f t="shared" ref="U66:AA66" si="23">SUM(U47:U48)-U49</f>
        <v>0</v>
      </c>
      <c r="V66" s="276">
        <f t="shared" si="23"/>
        <v>0</v>
      </c>
      <c r="W66" s="276">
        <f t="shared" si="23"/>
        <v>0</v>
      </c>
      <c r="X66" s="276">
        <f t="shared" si="23"/>
        <v>0</v>
      </c>
      <c r="Y66" s="276">
        <f t="shared" si="23"/>
        <v>0</v>
      </c>
      <c r="Z66" s="276">
        <f>SUM(Z47:Z48)-Z49</f>
        <v>0</v>
      </c>
      <c r="AA66" s="276">
        <f t="shared" si="23"/>
        <v>0</v>
      </c>
      <c r="AC66" s="276">
        <f>SUM(AC47:AC48)-AC49</f>
        <v>0</v>
      </c>
      <c r="AD66" s="276">
        <f>SUM(AD47:AD48)-AD49</f>
        <v>0</v>
      </c>
      <c r="AE66" s="276">
        <f>SUM(AE47:AE48)-AE49</f>
        <v>0</v>
      </c>
      <c r="AF66" s="276">
        <f>SUM(AF47:AF48)-AF49</f>
        <v>0</v>
      </c>
      <c r="AG66" s="276">
        <f>SUM(AG47:AG48)-AG49</f>
        <v>0</v>
      </c>
    </row>
    <row r="67" spans="1:33" hidden="1" outlineLevel="1" x14ac:dyDescent="0.25">
      <c r="B67" s="277" t="s">
        <v>40</v>
      </c>
      <c r="E67" s="276">
        <f t="shared" ref="E67:K67" si="24">E45-E49-E51</f>
        <v>0</v>
      </c>
      <c r="F67" s="276">
        <f t="shared" si="24"/>
        <v>0</v>
      </c>
      <c r="G67" s="276">
        <f t="shared" si="24"/>
        <v>0</v>
      </c>
      <c r="H67" s="276">
        <f t="shared" si="24"/>
        <v>0</v>
      </c>
      <c r="I67" s="276">
        <f t="shared" si="24"/>
        <v>-2.0999999833293259E-3</v>
      </c>
      <c r="J67" s="276">
        <f t="shared" si="24"/>
        <v>0</v>
      </c>
      <c r="K67" s="276">
        <f t="shared" si="24"/>
        <v>0</v>
      </c>
      <c r="M67" s="276">
        <f t="shared" ref="M67:N67" si="25">M45-M49-M51</f>
        <v>0</v>
      </c>
      <c r="N67" s="276">
        <f t="shared" si="25"/>
        <v>0</v>
      </c>
      <c r="O67" s="276">
        <f t="shared" ref="O67:P67" si="26">O45-O49-O51</f>
        <v>0</v>
      </c>
      <c r="P67" s="276">
        <f t="shared" si="26"/>
        <v>0</v>
      </c>
      <c r="Q67" s="276">
        <f t="shared" ref="Q67:R67" si="27">Q45-Q49-Q51</f>
        <v>0</v>
      </c>
      <c r="R67" s="276">
        <f t="shared" si="27"/>
        <v>0</v>
      </c>
      <c r="S67" s="276">
        <f t="shared" ref="S67" si="28">S45-S49-S51</f>
        <v>0</v>
      </c>
      <c r="U67" s="276">
        <f t="shared" ref="U67:AA67" si="29">U45-U49-U51</f>
        <v>0</v>
      </c>
      <c r="V67" s="276">
        <f t="shared" si="29"/>
        <v>0</v>
      </c>
      <c r="W67" s="276">
        <f t="shared" si="29"/>
        <v>0</v>
      </c>
      <c r="X67" s="276">
        <f t="shared" si="29"/>
        <v>0</v>
      </c>
      <c r="Y67" s="276">
        <f t="shared" si="29"/>
        <v>0</v>
      </c>
      <c r="Z67" s="276">
        <f t="shared" si="29"/>
        <v>0</v>
      </c>
      <c r="AA67" s="276">
        <f t="shared" si="29"/>
        <v>0</v>
      </c>
      <c r="AC67" s="276">
        <f>AC45-AC49-AC51</f>
        <v>0</v>
      </c>
      <c r="AD67" s="276">
        <f>AD45-AD49-AD51</f>
        <v>0</v>
      </c>
      <c r="AE67" s="276">
        <f>AE45-AE49-AE51</f>
        <v>0</v>
      </c>
      <c r="AF67" s="276">
        <f>AF45-AF49-AF51</f>
        <v>0</v>
      </c>
      <c r="AG67" s="276">
        <f>AG45-AG49-AG51</f>
        <v>0</v>
      </c>
    </row>
    <row r="68" spans="1:33" collapsed="1" x14ac:dyDescent="0.25"/>
    <row r="70" spans="1:33" x14ac:dyDescent="0.25">
      <c r="A70" s="310" t="s">
        <v>225</v>
      </c>
    </row>
    <row r="71" spans="1:33" x14ac:dyDescent="0.25">
      <c r="A71" s="310" t="s">
        <v>226</v>
      </c>
    </row>
    <row r="72" spans="1:33" x14ac:dyDescent="0.25">
      <c r="A72" s="310" t="s">
        <v>227</v>
      </c>
    </row>
    <row r="73" spans="1:33" x14ac:dyDescent="0.25">
      <c r="A73" s="310" t="s">
        <v>228</v>
      </c>
    </row>
  </sheetData>
  <mergeCells count="4">
    <mergeCell ref="E12:K12"/>
    <mergeCell ref="AC12:AG12"/>
    <mergeCell ref="U12:AA12"/>
    <mergeCell ref="M12:S12"/>
  </mergeCells>
  <pageMargins left="0.7" right="0.7" top="0.75" bottom="0.75" header="0.3" footer="0.3"/>
  <pageSetup orientation="portrait"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EF81"/>
  <sheetViews>
    <sheetView workbookViewId="0"/>
  </sheetViews>
  <sheetFormatPr defaultColWidth="9.140625" defaultRowHeight="15" outlineLevelRow="1" outlineLevelCol="1" x14ac:dyDescent="0.25"/>
  <cols>
    <col min="1" max="1" width="55.28515625" style="95" bestFit="1" customWidth="1"/>
    <col min="2" max="2" width="9" style="95" customWidth="1"/>
    <col min="3" max="3" width="3.7109375" style="95" customWidth="1"/>
    <col min="4" max="9" width="11.5703125" style="95" customWidth="1"/>
    <col min="10" max="10" width="10.28515625" style="95" customWidth="1"/>
    <col min="11" max="11" width="3.28515625" style="95" customWidth="1"/>
    <col min="12" max="18" width="11.28515625" style="95" customWidth="1"/>
    <col min="19" max="19" width="3.28515625" style="95" customWidth="1"/>
    <col min="20" max="26" width="9.7109375" style="95" customWidth="1"/>
    <col min="27" max="27" width="3.42578125" style="95" customWidth="1"/>
    <col min="28" max="34" width="8.7109375" style="95" customWidth="1"/>
    <col min="35" max="35" width="3" style="95" customWidth="1"/>
    <col min="36" max="36" width="8.7109375" style="95" customWidth="1"/>
    <col min="37" max="42" width="9" style="95" customWidth="1"/>
    <col min="43" max="43" width="3.140625" style="95" customWidth="1"/>
    <col min="44" max="50" width="9" style="95" customWidth="1"/>
    <col min="51" max="51" width="3" style="95" customWidth="1"/>
    <col min="52" max="53" width="9" style="95" customWidth="1"/>
    <col min="54" max="54" width="9" style="95" customWidth="1" outlineLevel="1"/>
    <col min="55" max="55" width="9" style="95" customWidth="1"/>
    <col min="56" max="56" width="9" style="95" customWidth="1" outlineLevel="1"/>
    <col min="57" max="58" width="9" style="95" customWidth="1"/>
    <col min="59" max="59" width="2.28515625" style="95" customWidth="1"/>
    <col min="60" max="61" width="9" style="95" customWidth="1"/>
    <col min="62" max="62" width="8" style="95" customWidth="1" outlineLevel="1"/>
    <col min="63" max="63" width="11.5703125" style="95" customWidth="1"/>
    <col min="64" max="64" width="11.5703125" style="95" customWidth="1" outlineLevel="1"/>
    <col min="65" max="65" width="12.28515625" style="95" customWidth="1"/>
    <col min="66" max="66" width="8" style="95" customWidth="1"/>
    <col min="67" max="67" width="2.5703125" style="95" customWidth="1"/>
    <col min="68" max="69" width="9" style="144" customWidth="1"/>
    <col min="70" max="70" width="8" style="95" customWidth="1" outlineLevel="1"/>
    <col min="71" max="71" width="9" style="95" customWidth="1"/>
    <col min="72" max="72" width="9" style="95" customWidth="1" outlineLevel="1"/>
    <col min="73" max="74" width="9" style="95" customWidth="1"/>
    <col min="75" max="75" width="3" style="95" customWidth="1"/>
    <col min="76" max="77" width="9" style="144" customWidth="1"/>
    <col min="78" max="78" width="8" style="95" customWidth="1" outlineLevel="1"/>
    <col min="79" max="79" width="9" style="95" customWidth="1"/>
    <col min="80" max="80" width="9" style="95" customWidth="1" outlineLevel="1"/>
    <col min="81" max="82" width="9" style="95" customWidth="1"/>
    <col min="83" max="83" width="3" style="95" customWidth="1"/>
    <col min="84" max="85" width="9" style="95" customWidth="1"/>
    <col min="86" max="86" width="8" style="95" customWidth="1" outlineLevel="1"/>
    <col min="87" max="87" width="9" style="95" customWidth="1"/>
    <col min="88" max="88" width="9" style="95" customWidth="1" outlineLevel="1"/>
    <col min="89" max="90" width="9" style="95" customWidth="1"/>
    <col min="91" max="91" width="3" style="95" customWidth="1"/>
    <col min="92" max="93" width="9" style="95" customWidth="1"/>
    <col min="94" max="94" width="8" style="95" customWidth="1" outlineLevel="1"/>
    <col min="95" max="95" width="9" style="95" customWidth="1"/>
    <col min="96" max="96" width="8" style="95" customWidth="1" outlineLevel="1"/>
    <col min="97" max="97" width="9" style="95" customWidth="1"/>
    <col min="98" max="98" width="8" style="95" customWidth="1"/>
    <col min="99" max="99" width="3" style="95" customWidth="1"/>
    <col min="100" max="101" width="9" style="95" customWidth="1"/>
    <col min="102" max="102" width="8" style="95" customWidth="1" outlineLevel="1"/>
    <col min="103" max="103" width="9" style="95" customWidth="1"/>
    <col min="104" max="104" width="9.5703125" style="95" customWidth="1" outlineLevel="1"/>
    <col min="105" max="105" width="9" style="95" customWidth="1"/>
    <col min="106" max="106" width="8" style="95" customWidth="1"/>
    <col min="107" max="107" width="3" style="95" customWidth="1"/>
    <col min="108" max="109" width="9" style="95" customWidth="1"/>
    <col min="110" max="110" width="8" style="95" customWidth="1" outlineLevel="1"/>
    <col min="111" max="111" width="9" style="95" customWidth="1"/>
    <col min="112" max="112" width="8" style="95" customWidth="1" outlineLevel="1"/>
    <col min="113" max="113" width="9" style="95" customWidth="1"/>
    <col min="114" max="114" width="8" style="95" customWidth="1"/>
    <col min="115" max="115" width="3" style="95" customWidth="1"/>
    <col min="116" max="117" width="9" style="95" customWidth="1"/>
    <col min="118" max="118" width="8" style="95" customWidth="1" outlineLevel="1"/>
    <col min="119" max="119" width="9" style="95" customWidth="1"/>
    <col min="120" max="120" width="8" style="95" customWidth="1" outlineLevel="1"/>
    <col min="121" max="121" width="9" style="95" customWidth="1"/>
    <col min="122" max="122" width="8" style="95" customWidth="1"/>
    <col min="123" max="123" width="3" style="95" customWidth="1"/>
    <col min="124" max="125" width="9" style="95" customWidth="1"/>
    <col min="126" max="126" width="9" style="95" customWidth="1" outlineLevel="1"/>
    <col min="127" max="127" width="9" style="95" customWidth="1"/>
    <col min="128" max="128" width="9" style="95" customWidth="1" outlineLevel="1"/>
    <col min="129" max="130" width="9" style="95" customWidth="1"/>
    <col min="131" max="131" width="3" style="95" customWidth="1"/>
    <col min="132" max="133" width="9" style="95" customWidth="1"/>
    <col min="134" max="134" width="9" style="95" customWidth="1" outlineLevel="1"/>
    <col min="135" max="136" width="9" style="95" customWidth="1"/>
    <col min="137" max="16384" width="9.140625" style="95"/>
  </cols>
  <sheetData>
    <row r="1" spans="1:136" x14ac:dyDescent="0.25">
      <c r="A1" s="8" t="s">
        <v>41</v>
      </c>
      <c r="B1" s="79">
        <v>81</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9"/>
      <c r="BD1" s="247"/>
      <c r="BE1" s="247"/>
      <c r="BF1" s="247"/>
      <c r="BG1" s="247"/>
      <c r="BH1" s="247"/>
      <c r="BI1" s="92"/>
      <c r="BJ1" s="92"/>
      <c r="BK1" s="92"/>
      <c r="BL1" s="92"/>
      <c r="BM1" s="92"/>
      <c r="BN1" s="92"/>
      <c r="BO1" s="92"/>
      <c r="BP1" s="93"/>
      <c r="BQ1" s="93"/>
      <c r="BR1" s="92"/>
      <c r="BS1" s="92"/>
      <c r="BT1" s="92"/>
      <c r="BU1" s="92"/>
      <c r="BV1" s="92"/>
      <c r="BW1" s="92"/>
      <c r="BX1" s="93"/>
      <c r="BY1" s="93"/>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4"/>
    </row>
    <row r="2" spans="1:136" x14ac:dyDescent="0.25">
      <c r="A2" s="42" t="s">
        <v>42</v>
      </c>
      <c r="B2" s="74">
        <v>33.1</v>
      </c>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c r="DF2" s="77"/>
      <c r="DG2" s="77"/>
      <c r="DH2" s="77"/>
      <c r="DI2" s="77"/>
      <c r="DJ2" s="77"/>
      <c r="DK2" s="77"/>
      <c r="DL2" s="77"/>
      <c r="DM2" s="77"/>
      <c r="DN2" s="77"/>
      <c r="DO2" s="77"/>
      <c r="DP2" s="77"/>
      <c r="DQ2" s="77"/>
      <c r="DR2" s="77"/>
      <c r="DS2" s="77"/>
      <c r="DT2" s="77"/>
      <c r="DU2" s="77"/>
      <c r="DV2" s="77"/>
      <c r="DW2" s="77"/>
      <c r="DX2" s="77"/>
      <c r="DY2" s="77"/>
      <c r="DZ2" s="77"/>
      <c r="EA2" s="77"/>
      <c r="EB2" s="77"/>
      <c r="EC2" s="77"/>
      <c r="ED2" s="77"/>
      <c r="EE2" s="77"/>
      <c r="EF2" s="96"/>
    </row>
    <row r="3" spans="1:136" ht="15" customHeight="1" x14ac:dyDescent="0.25">
      <c r="A3" s="42" t="s">
        <v>43</v>
      </c>
      <c r="B3" s="74">
        <v>2.2999999999999998</v>
      </c>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75"/>
      <c r="BJ3" s="9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c r="DJ3" s="77"/>
      <c r="DK3" s="77"/>
      <c r="DL3" s="77"/>
      <c r="DM3" s="77"/>
      <c r="DN3" s="77"/>
      <c r="DO3" s="77"/>
      <c r="DP3" s="77"/>
      <c r="DQ3" s="77"/>
      <c r="DR3" s="77"/>
      <c r="DS3" s="77"/>
      <c r="DT3" s="77"/>
      <c r="DU3" s="77"/>
      <c r="DV3" s="77"/>
      <c r="DW3" s="77"/>
      <c r="DX3" s="77"/>
      <c r="DY3" s="77"/>
      <c r="DZ3" s="77"/>
      <c r="EA3" s="77"/>
      <c r="EB3" s="77"/>
      <c r="EC3" s="77"/>
      <c r="ED3" s="77"/>
      <c r="EE3" s="77"/>
      <c r="EF3" s="96"/>
    </row>
    <row r="4" spans="1:136" s="100" customFormat="1" ht="15" customHeight="1" x14ac:dyDescent="0.25">
      <c r="A4" s="42" t="s">
        <v>44</v>
      </c>
      <c r="B4" s="74">
        <v>45.6</v>
      </c>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8"/>
      <c r="BJ4" s="97"/>
      <c r="BK4" s="97"/>
      <c r="BL4" s="97"/>
      <c r="BM4" s="97"/>
      <c r="BN4" s="97"/>
      <c r="BO4" s="89"/>
      <c r="BP4" s="97"/>
      <c r="BQ4" s="97"/>
      <c r="BR4" s="97"/>
      <c r="BS4" s="97"/>
      <c r="BT4" s="97"/>
      <c r="BU4" s="97"/>
      <c r="BV4" s="97"/>
      <c r="BW4" s="89"/>
      <c r="BX4" s="97"/>
      <c r="BY4" s="97"/>
      <c r="BZ4" s="97"/>
      <c r="CA4" s="97"/>
      <c r="CB4" s="97"/>
      <c r="CC4" s="97"/>
      <c r="CD4" s="97"/>
      <c r="CE4" s="89"/>
      <c r="CF4" s="97"/>
      <c r="CG4" s="97"/>
      <c r="CH4" s="97"/>
      <c r="CI4" s="97"/>
      <c r="CJ4" s="97"/>
      <c r="CK4" s="97"/>
      <c r="CL4" s="97"/>
      <c r="CM4" s="89"/>
      <c r="CN4" s="97"/>
      <c r="CO4" s="97"/>
      <c r="CP4" s="97"/>
      <c r="CQ4" s="97"/>
      <c r="CR4" s="89"/>
      <c r="CS4" s="97"/>
      <c r="CT4" s="97"/>
      <c r="CU4" s="89"/>
      <c r="CV4" s="97"/>
      <c r="CW4" s="97"/>
      <c r="CX4" s="97"/>
      <c r="CY4" s="97"/>
      <c r="CZ4" s="89"/>
      <c r="DA4" s="97"/>
      <c r="DB4" s="97"/>
      <c r="DC4" s="89"/>
      <c r="DD4" s="97"/>
      <c r="DE4" s="97"/>
      <c r="DF4" s="97"/>
      <c r="DG4" s="97"/>
      <c r="DH4" s="89"/>
      <c r="DI4" s="97"/>
      <c r="DJ4" s="97"/>
      <c r="DK4" s="89"/>
      <c r="DL4" s="97"/>
      <c r="DM4" s="97"/>
      <c r="DN4" s="97"/>
      <c r="DO4" s="97"/>
      <c r="DP4" s="89"/>
      <c r="DQ4" s="97"/>
      <c r="DR4" s="97"/>
      <c r="DS4" s="89"/>
      <c r="DT4" s="97"/>
      <c r="DU4" s="97"/>
      <c r="DV4" s="97"/>
      <c r="DW4" s="97"/>
      <c r="DX4" s="97"/>
      <c r="DY4" s="97"/>
      <c r="DZ4" s="97"/>
      <c r="EA4" s="89"/>
      <c r="EB4" s="97"/>
      <c r="EC4" s="97"/>
      <c r="ED4" s="97"/>
      <c r="EE4" s="97"/>
      <c r="EF4" s="99"/>
    </row>
    <row r="5" spans="1:136" s="100" customFormat="1" ht="15" customHeight="1" x14ac:dyDescent="0.25">
      <c r="A5" s="42"/>
      <c r="B5" s="74"/>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8"/>
      <c r="BJ5" s="97"/>
      <c r="BK5" s="97"/>
      <c r="BL5" s="97"/>
      <c r="BM5" s="97"/>
      <c r="BN5" s="97"/>
      <c r="BO5" s="89"/>
      <c r="BP5" s="97"/>
      <c r="BQ5" s="97"/>
      <c r="BR5" s="97"/>
      <c r="BS5" s="97"/>
      <c r="BT5" s="97"/>
      <c r="BU5" s="101"/>
      <c r="BV5" s="97"/>
      <c r="BW5" s="89"/>
      <c r="BX5" s="97"/>
      <c r="BY5" s="97"/>
      <c r="BZ5" s="97"/>
      <c r="CA5" s="97"/>
      <c r="CB5" s="97"/>
      <c r="CC5" s="97"/>
      <c r="CD5" s="97"/>
      <c r="CE5" s="89"/>
      <c r="CF5" s="97"/>
      <c r="CG5" s="97"/>
      <c r="CH5" s="97"/>
      <c r="CI5" s="97"/>
      <c r="CJ5" s="97"/>
      <c r="CK5" s="97"/>
      <c r="CL5" s="97"/>
      <c r="CM5" s="89"/>
      <c r="CN5" s="97"/>
      <c r="CO5" s="97"/>
      <c r="CP5" s="97"/>
      <c r="CQ5" s="97"/>
      <c r="CR5" s="89"/>
      <c r="CS5" s="97"/>
      <c r="CT5" s="97"/>
      <c r="CU5" s="89"/>
      <c r="CV5" s="97"/>
      <c r="CW5" s="97"/>
      <c r="CX5" s="97"/>
      <c r="CY5" s="97"/>
      <c r="CZ5" s="89"/>
      <c r="DA5" s="97"/>
      <c r="DB5" s="97"/>
      <c r="DC5" s="89"/>
      <c r="DD5" s="97"/>
      <c r="DE5" s="97"/>
      <c r="DF5" s="97"/>
      <c r="DG5" s="97"/>
      <c r="DH5" s="89"/>
      <c r="DI5" s="97"/>
      <c r="DJ5" s="97"/>
      <c r="DK5" s="89"/>
      <c r="DL5" s="97"/>
      <c r="DM5" s="97"/>
      <c r="DN5" s="97"/>
      <c r="DO5" s="97"/>
      <c r="DP5" s="89"/>
      <c r="DQ5" s="97"/>
      <c r="DR5" s="97"/>
      <c r="DS5" s="89"/>
      <c r="DT5" s="97"/>
      <c r="DU5" s="97"/>
      <c r="DV5" s="97"/>
      <c r="DW5" s="97"/>
      <c r="DX5" s="97"/>
      <c r="DY5" s="97"/>
      <c r="DZ5" s="97"/>
      <c r="EA5" s="89"/>
      <c r="EB5" s="97"/>
      <c r="EC5" s="97"/>
      <c r="ED5" s="97"/>
      <c r="EE5" s="97"/>
      <c r="EF5" s="99"/>
    </row>
    <row r="6" spans="1:136" s="100" customFormat="1" x14ac:dyDescent="0.25">
      <c r="A6" s="42" t="s">
        <v>45</v>
      </c>
      <c r="B6" s="74">
        <v>-33</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8"/>
      <c r="BJ6" s="97"/>
      <c r="BK6" s="97"/>
      <c r="BL6" s="97"/>
      <c r="BM6" s="97"/>
      <c r="BN6" s="97"/>
      <c r="BO6" s="89"/>
      <c r="BP6" s="97"/>
      <c r="BQ6" s="97"/>
      <c r="BR6" s="97"/>
      <c r="BS6" s="97"/>
      <c r="BT6" s="97"/>
      <c r="BU6" s="97"/>
      <c r="BV6" s="97"/>
      <c r="BW6" s="89"/>
      <c r="BX6" s="97"/>
      <c r="BY6" s="97"/>
      <c r="BZ6" s="97"/>
      <c r="CA6" s="97"/>
      <c r="CB6" s="97"/>
      <c r="CC6" s="97"/>
      <c r="CD6" s="97"/>
      <c r="CE6" s="89"/>
      <c r="CF6" s="97"/>
      <c r="CG6" s="97"/>
      <c r="CH6" s="97"/>
      <c r="CI6" s="97"/>
      <c r="CJ6" s="97"/>
      <c r="CK6" s="97"/>
      <c r="CL6" s="97"/>
      <c r="CM6" s="89"/>
      <c r="CN6" s="97"/>
      <c r="CO6" s="97"/>
      <c r="CP6" s="97"/>
      <c r="CQ6" s="97"/>
      <c r="CR6" s="89"/>
      <c r="CS6" s="97"/>
      <c r="CT6" s="97"/>
      <c r="CU6" s="89"/>
      <c r="CV6" s="97"/>
      <c r="CW6" s="97"/>
      <c r="CX6" s="97"/>
      <c r="CY6" s="97"/>
      <c r="CZ6" s="89"/>
      <c r="DA6" s="97"/>
      <c r="DB6" s="97"/>
      <c r="DC6" s="89"/>
      <c r="DD6" s="97"/>
      <c r="DE6" s="97"/>
      <c r="DF6" s="97"/>
      <c r="DG6" s="97"/>
      <c r="DH6" s="89"/>
      <c r="DI6" s="97"/>
      <c r="DJ6" s="97"/>
      <c r="DK6" s="89"/>
      <c r="DL6" s="97"/>
      <c r="DM6" s="97"/>
      <c r="DN6" s="97"/>
      <c r="DO6" s="97"/>
      <c r="DP6" s="89"/>
      <c r="DQ6" s="97"/>
      <c r="DR6" s="97"/>
      <c r="DS6" s="89"/>
      <c r="DT6" s="97"/>
      <c r="DU6" s="97"/>
      <c r="DV6" s="97"/>
      <c r="DW6" s="97"/>
      <c r="DX6" s="97"/>
      <c r="DY6" s="97"/>
      <c r="DZ6" s="97"/>
      <c r="EA6" s="89"/>
      <c r="EB6" s="97"/>
      <c r="EC6" s="97"/>
      <c r="ED6" s="97"/>
      <c r="EE6" s="97"/>
      <c r="EF6" s="99"/>
    </row>
    <row r="7" spans="1:136" s="100" customFormat="1" ht="15" customHeight="1" x14ac:dyDescent="0.25">
      <c r="A7" s="42" t="s">
        <v>46</v>
      </c>
      <c r="B7" s="74">
        <v>47</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75"/>
      <c r="BJ7" s="97"/>
      <c r="BK7" s="97"/>
      <c r="BL7" s="97"/>
      <c r="BM7" s="97"/>
      <c r="BN7" s="97"/>
      <c r="BO7" s="89"/>
      <c r="BP7" s="97"/>
      <c r="BQ7" s="97"/>
      <c r="BR7" s="97"/>
      <c r="BS7" s="97"/>
      <c r="BT7" s="97"/>
      <c r="BU7" s="101"/>
      <c r="BV7" s="97"/>
      <c r="BW7" s="89"/>
      <c r="BX7" s="97"/>
      <c r="BY7" s="97"/>
      <c r="BZ7" s="97"/>
      <c r="CA7" s="97"/>
      <c r="CB7" s="97"/>
      <c r="CC7" s="97"/>
      <c r="CD7" s="97"/>
      <c r="CE7" s="89"/>
      <c r="CF7" s="97"/>
      <c r="CG7" s="97"/>
      <c r="CH7" s="97"/>
      <c r="CI7" s="97"/>
      <c r="CJ7" s="97"/>
      <c r="CK7" s="97"/>
      <c r="CL7" s="97"/>
      <c r="CM7" s="89"/>
      <c r="CN7" s="97"/>
      <c r="CO7" s="97"/>
      <c r="CP7" s="97"/>
      <c r="CQ7" s="97"/>
      <c r="CR7" s="89"/>
      <c r="CS7" s="97"/>
      <c r="CT7" s="97"/>
      <c r="CU7" s="89"/>
      <c r="CV7" s="97"/>
      <c r="CW7" s="97"/>
      <c r="CX7" s="97"/>
      <c r="CY7" s="97"/>
      <c r="CZ7" s="89"/>
      <c r="DA7" s="97"/>
      <c r="DB7" s="97"/>
      <c r="DC7" s="89"/>
      <c r="DD7" s="97"/>
      <c r="DE7" s="97"/>
      <c r="DF7" s="97"/>
      <c r="DG7" s="97"/>
      <c r="DH7" s="89"/>
      <c r="DI7" s="97"/>
      <c r="DJ7" s="97"/>
      <c r="DK7" s="89"/>
      <c r="DL7" s="97"/>
      <c r="DM7" s="97"/>
      <c r="DN7" s="97"/>
      <c r="DO7" s="97"/>
      <c r="DP7" s="89"/>
      <c r="DQ7" s="97"/>
      <c r="DR7" s="97"/>
      <c r="DS7" s="89"/>
      <c r="DT7" s="97"/>
      <c r="DU7" s="97"/>
      <c r="DV7" s="97"/>
      <c r="DW7" s="97"/>
      <c r="DX7" s="97"/>
      <c r="DY7" s="97"/>
      <c r="DZ7" s="97"/>
      <c r="EA7" s="89"/>
      <c r="EB7" s="97"/>
      <c r="EC7" s="97"/>
      <c r="ED7" s="97"/>
      <c r="EE7" s="97"/>
      <c r="EF7" s="99"/>
    </row>
    <row r="8" spans="1:136" s="100" customFormat="1" ht="15" customHeight="1" x14ac:dyDescent="0.25">
      <c r="A8" s="42" t="s">
        <v>47</v>
      </c>
      <c r="B8" s="74">
        <v>-31.3</v>
      </c>
      <c r="C8" s="90"/>
      <c r="D8" s="90"/>
      <c r="E8" s="90"/>
      <c r="F8" s="90"/>
      <c r="G8" s="90"/>
      <c r="H8" s="90"/>
      <c r="I8" s="90"/>
      <c r="J8" s="90"/>
      <c r="K8" s="90"/>
      <c r="L8" s="517"/>
      <c r="M8" s="517"/>
      <c r="N8" s="517"/>
      <c r="O8" s="517"/>
      <c r="P8" s="517"/>
      <c r="Q8" s="517"/>
      <c r="R8" s="517"/>
      <c r="S8" s="517"/>
      <c r="T8" s="517"/>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8"/>
      <c r="BJ8" s="97"/>
      <c r="BK8" s="97"/>
      <c r="BL8" s="97"/>
      <c r="BM8" s="102"/>
      <c r="BN8" s="97"/>
      <c r="BO8" s="89"/>
      <c r="BP8" s="97"/>
      <c r="BQ8" s="97"/>
      <c r="BR8" s="97"/>
      <c r="BS8" s="97"/>
      <c r="BT8" s="97"/>
      <c r="BU8" s="97"/>
      <c r="BV8" s="97"/>
      <c r="BW8" s="89"/>
      <c r="BX8" s="97"/>
      <c r="BY8" s="97"/>
      <c r="BZ8" s="97"/>
      <c r="CA8" s="97"/>
      <c r="CB8" s="97"/>
      <c r="CC8" s="97"/>
      <c r="CD8" s="97"/>
      <c r="CE8" s="89"/>
      <c r="CF8" s="97"/>
      <c r="CG8" s="97"/>
      <c r="CH8" s="97"/>
      <c r="CI8" s="77"/>
      <c r="CJ8" s="97"/>
      <c r="CK8" s="97"/>
      <c r="CL8" s="97"/>
      <c r="CM8" s="89"/>
      <c r="CN8" s="97"/>
      <c r="CO8" s="97"/>
      <c r="CP8" s="97"/>
      <c r="CQ8" s="97"/>
      <c r="CR8" s="89"/>
      <c r="CS8" s="97"/>
      <c r="CT8" s="97"/>
      <c r="CU8" s="89"/>
      <c r="CV8" s="97"/>
      <c r="CW8" s="97"/>
      <c r="CX8" s="97"/>
      <c r="CY8" s="97"/>
      <c r="CZ8" s="89"/>
      <c r="DA8" s="97"/>
      <c r="DB8" s="97"/>
      <c r="DC8" s="89"/>
      <c r="DD8" s="97"/>
      <c r="DE8" s="97"/>
      <c r="DF8" s="97"/>
      <c r="DG8" s="97"/>
      <c r="DH8" s="89"/>
      <c r="DI8" s="97"/>
      <c r="DJ8" s="97"/>
      <c r="DK8" s="89"/>
      <c r="DL8" s="97"/>
      <c r="DM8" s="97"/>
      <c r="DN8" s="97"/>
      <c r="DO8" s="97"/>
      <c r="DP8" s="89"/>
      <c r="DQ8" s="97"/>
      <c r="DR8" s="97"/>
      <c r="DS8" s="89"/>
      <c r="DT8" s="97"/>
      <c r="DU8" s="97"/>
      <c r="DV8" s="97"/>
      <c r="DW8" s="97"/>
      <c r="DX8" s="97"/>
      <c r="DY8" s="97"/>
      <c r="DZ8" s="97"/>
      <c r="EA8" s="89"/>
      <c r="EB8" s="97"/>
      <c r="EC8" s="97"/>
      <c r="ED8" s="97"/>
      <c r="EE8" s="97"/>
      <c r="EF8" s="99"/>
    </row>
    <row r="9" spans="1:136" s="100" customFormat="1" ht="15" customHeight="1" x14ac:dyDescent="0.25">
      <c r="A9" s="42" t="s">
        <v>48</v>
      </c>
      <c r="B9" s="74">
        <v>45</v>
      </c>
      <c r="C9" s="90"/>
      <c r="D9" s="517"/>
      <c r="E9" s="517"/>
      <c r="F9" s="517"/>
      <c r="G9" s="517"/>
      <c r="H9" s="517"/>
      <c r="I9" s="517"/>
      <c r="J9" s="517"/>
      <c r="K9" s="517"/>
      <c r="L9" s="517"/>
      <c r="M9" s="520"/>
      <c r="N9" s="520"/>
      <c r="O9" s="516"/>
      <c r="P9" s="516"/>
      <c r="Q9" s="516"/>
      <c r="R9" s="517"/>
      <c r="S9" s="517"/>
      <c r="T9" s="517"/>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8"/>
      <c r="BJ9" s="97"/>
      <c r="BK9" s="97"/>
      <c r="BL9" s="97"/>
      <c r="BM9" s="102"/>
      <c r="BN9" s="97"/>
      <c r="BO9" s="89"/>
      <c r="BP9" s="97"/>
      <c r="BQ9" s="97"/>
      <c r="BR9" s="97"/>
      <c r="BS9" s="97"/>
      <c r="BT9" s="97"/>
      <c r="BU9" s="97"/>
      <c r="BV9" s="97"/>
      <c r="BW9" s="89"/>
      <c r="BX9" s="97"/>
      <c r="BY9" s="97"/>
      <c r="BZ9" s="97"/>
      <c r="CA9" s="97"/>
      <c r="CB9" s="97"/>
      <c r="CC9" s="97"/>
      <c r="CD9" s="97"/>
      <c r="CE9" s="89"/>
      <c r="CF9" s="97"/>
      <c r="CG9" s="97"/>
      <c r="CH9" s="97"/>
      <c r="CI9" s="77"/>
      <c r="CJ9" s="97"/>
      <c r="CK9" s="97"/>
      <c r="CL9" s="97"/>
      <c r="CM9" s="89"/>
      <c r="CN9" s="97"/>
      <c r="CO9" s="97"/>
      <c r="CP9" s="97"/>
      <c r="CQ9" s="97"/>
      <c r="CR9" s="89"/>
      <c r="CS9" s="97"/>
      <c r="CT9" s="97"/>
      <c r="CU9" s="89"/>
      <c r="CV9" s="97"/>
      <c r="CW9" s="97"/>
      <c r="CX9" s="97"/>
      <c r="CY9" s="97"/>
      <c r="CZ9" s="89"/>
      <c r="DA9" s="97"/>
      <c r="DB9" s="97"/>
      <c r="DC9" s="89"/>
      <c r="DD9" s="97"/>
      <c r="DE9" s="97"/>
      <c r="DF9" s="97"/>
      <c r="DG9" s="97"/>
      <c r="DH9" s="89"/>
      <c r="DI9" s="97"/>
      <c r="DJ9" s="97"/>
      <c r="DK9" s="89"/>
      <c r="DL9" s="97"/>
      <c r="DM9" s="97"/>
      <c r="DN9" s="97"/>
      <c r="DO9" s="97"/>
      <c r="DP9" s="89"/>
      <c r="DQ9" s="97"/>
      <c r="DR9" s="97"/>
      <c r="DS9" s="89"/>
      <c r="DT9" s="97"/>
      <c r="DU9" s="97"/>
      <c r="DV9" s="97"/>
      <c r="DW9" s="97"/>
      <c r="DX9" s="97"/>
      <c r="DY9" s="97"/>
      <c r="DZ9" s="97"/>
      <c r="EA9" s="89"/>
      <c r="EB9" s="97"/>
      <c r="EC9" s="97"/>
      <c r="ED9" s="97"/>
      <c r="EE9" s="97"/>
      <c r="EF9" s="99"/>
    </row>
    <row r="10" spans="1:136" s="100" customFormat="1" ht="15" customHeight="1" x14ac:dyDescent="0.25">
      <c r="A10" s="42" t="s">
        <v>49</v>
      </c>
      <c r="B10" s="74">
        <v>-41.7</v>
      </c>
      <c r="C10" s="90"/>
      <c r="D10" s="517"/>
      <c r="E10" s="517"/>
      <c r="F10" s="517"/>
      <c r="G10" s="517"/>
      <c r="H10" s="517"/>
      <c r="I10" s="517"/>
      <c r="J10" s="517"/>
      <c r="K10" s="517"/>
      <c r="L10" s="517"/>
      <c r="M10" s="518"/>
      <c r="N10" s="518"/>
      <c r="O10" s="520"/>
      <c r="P10" s="520"/>
      <c r="Q10" s="516"/>
      <c r="R10" s="517"/>
      <c r="S10" s="517"/>
      <c r="T10" s="517"/>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8"/>
      <c r="BJ10" s="97"/>
      <c r="BK10" s="97"/>
      <c r="BL10" s="97"/>
      <c r="BM10" s="102"/>
      <c r="BN10" s="97"/>
      <c r="BO10" s="89"/>
      <c r="BP10" s="97"/>
      <c r="BQ10" s="97"/>
      <c r="BR10" s="97"/>
      <c r="BS10" s="97"/>
      <c r="BT10" s="97"/>
      <c r="BU10" s="97"/>
      <c r="BV10" s="97"/>
      <c r="BW10" s="89"/>
      <c r="BX10" s="97"/>
      <c r="BY10" s="97"/>
      <c r="BZ10" s="97"/>
      <c r="CA10" s="97"/>
      <c r="CB10" s="97"/>
      <c r="CC10" s="97"/>
      <c r="CD10" s="97"/>
      <c r="CE10" s="89"/>
      <c r="CF10" s="97"/>
      <c r="CG10" s="97"/>
      <c r="CH10" s="97"/>
      <c r="CI10" s="77"/>
      <c r="CJ10" s="97"/>
      <c r="CK10" s="97"/>
      <c r="CL10" s="97"/>
      <c r="CM10" s="89"/>
      <c r="CN10" s="97"/>
      <c r="CO10" s="97"/>
      <c r="CP10" s="97"/>
      <c r="CQ10" s="97"/>
      <c r="CR10" s="89"/>
      <c r="CS10" s="97"/>
      <c r="CT10" s="97"/>
      <c r="CU10" s="89"/>
      <c r="CV10" s="97"/>
      <c r="CW10" s="97"/>
      <c r="CX10" s="97"/>
      <c r="CY10" s="97"/>
      <c r="CZ10" s="89"/>
      <c r="DA10" s="97"/>
      <c r="DB10" s="97"/>
      <c r="DC10" s="89"/>
      <c r="DD10" s="97"/>
      <c r="DE10" s="97"/>
      <c r="DF10" s="97"/>
      <c r="DG10" s="97"/>
      <c r="DH10" s="89"/>
      <c r="DI10" s="97"/>
      <c r="DJ10" s="97"/>
      <c r="DK10" s="89"/>
      <c r="DL10" s="97"/>
      <c r="DM10" s="97"/>
      <c r="DN10" s="97"/>
      <c r="DO10" s="97"/>
      <c r="DP10" s="89"/>
      <c r="DQ10" s="97"/>
      <c r="DR10" s="97"/>
      <c r="DS10" s="89"/>
      <c r="DT10" s="97"/>
      <c r="DU10" s="97"/>
      <c r="DV10" s="97"/>
      <c r="DW10" s="97"/>
      <c r="DX10" s="97"/>
      <c r="DY10" s="97"/>
      <c r="DZ10" s="97"/>
      <c r="EA10" s="89"/>
      <c r="EB10" s="97"/>
      <c r="EC10" s="97"/>
      <c r="ED10" s="97"/>
      <c r="EE10" s="97"/>
      <c r="EF10" s="99"/>
    </row>
    <row r="11" spans="1:136" s="100" customFormat="1" ht="15" customHeight="1" x14ac:dyDescent="0.25">
      <c r="A11" s="42" t="s">
        <v>50</v>
      </c>
      <c r="B11" s="74">
        <v>61</v>
      </c>
      <c r="C11" s="90"/>
      <c r="D11" s="517"/>
      <c r="E11" s="517"/>
      <c r="F11" s="517"/>
      <c r="G11" s="517"/>
      <c r="H11" s="517"/>
      <c r="I11" s="517"/>
      <c r="J11" s="517"/>
      <c r="K11" s="517"/>
      <c r="L11" s="517"/>
      <c r="M11" s="517"/>
      <c r="N11" s="517"/>
      <c r="O11" s="520"/>
      <c r="P11" s="520"/>
      <c r="Q11" s="516"/>
      <c r="R11" s="517"/>
      <c r="S11" s="517"/>
      <c r="T11" s="517"/>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8"/>
      <c r="BJ11" s="97"/>
      <c r="BK11" s="97"/>
      <c r="BL11" s="97"/>
      <c r="BM11" s="102"/>
      <c r="BN11" s="97"/>
      <c r="BO11" s="89"/>
      <c r="BP11" s="97"/>
      <c r="BQ11" s="97"/>
      <c r="BR11" s="97"/>
      <c r="BS11" s="97"/>
      <c r="BT11" s="97"/>
      <c r="BU11" s="97"/>
      <c r="BV11" s="97"/>
      <c r="BW11" s="89"/>
      <c r="BX11" s="97"/>
      <c r="BY11" s="97"/>
      <c r="BZ11" s="97"/>
      <c r="CA11" s="97"/>
      <c r="CB11" s="97"/>
      <c r="CC11" s="97"/>
      <c r="CD11" s="97"/>
      <c r="CE11" s="89"/>
      <c r="CF11" s="97"/>
      <c r="CG11" s="97"/>
      <c r="CH11" s="97"/>
      <c r="CI11" s="77"/>
      <c r="CJ11" s="97"/>
      <c r="CK11" s="97"/>
      <c r="CL11" s="97"/>
      <c r="CM11" s="89"/>
      <c r="CN11" s="97"/>
      <c r="CO11" s="97"/>
      <c r="CP11" s="97"/>
      <c r="CQ11" s="97"/>
      <c r="CR11" s="89"/>
      <c r="CS11" s="97"/>
      <c r="CT11" s="97"/>
      <c r="CU11" s="89"/>
      <c r="CV11" s="97"/>
      <c r="CW11" s="97"/>
      <c r="CX11" s="97"/>
      <c r="CY11" s="97"/>
      <c r="CZ11" s="89"/>
      <c r="DA11" s="97"/>
      <c r="DB11" s="97"/>
      <c r="DC11" s="89"/>
      <c r="DD11" s="97"/>
      <c r="DE11" s="97"/>
      <c r="DF11" s="97"/>
      <c r="DG11" s="97"/>
      <c r="DH11" s="89"/>
      <c r="DI11" s="97"/>
      <c r="DJ11" s="97"/>
      <c r="DK11" s="89"/>
      <c r="DL11" s="97"/>
      <c r="DM11" s="97"/>
      <c r="DN11" s="97"/>
      <c r="DO11" s="97"/>
      <c r="DP11" s="89"/>
      <c r="DQ11" s="97"/>
      <c r="DR11" s="97"/>
      <c r="DS11" s="89"/>
      <c r="DT11" s="97"/>
      <c r="DU11" s="97"/>
      <c r="DV11" s="97"/>
      <c r="DW11" s="97"/>
      <c r="DX11" s="97"/>
      <c r="DY11" s="97"/>
      <c r="DZ11" s="97"/>
      <c r="EA11" s="89"/>
      <c r="EB11" s="97"/>
      <c r="EC11" s="97"/>
      <c r="ED11" s="97"/>
      <c r="EE11" s="97"/>
      <c r="EF11" s="99"/>
    </row>
    <row r="12" spans="1:136" s="100" customFormat="1" ht="15" customHeight="1" x14ac:dyDescent="0.25">
      <c r="A12" s="42" t="s">
        <v>175</v>
      </c>
      <c r="B12" s="74">
        <v>-30.8</v>
      </c>
      <c r="C12" s="90"/>
      <c r="D12" s="517"/>
      <c r="E12" s="517"/>
      <c r="F12" s="517"/>
      <c r="G12" s="517"/>
      <c r="H12" s="517"/>
      <c r="I12" s="517"/>
      <c r="J12" s="517"/>
      <c r="K12" s="517"/>
      <c r="L12" s="517"/>
      <c r="M12" s="517"/>
      <c r="N12" s="517"/>
      <c r="O12" s="520"/>
      <c r="P12" s="520"/>
      <c r="Q12" s="517"/>
      <c r="R12" s="517"/>
      <c r="S12" s="517"/>
      <c r="T12" s="517"/>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8"/>
      <c r="BJ12" s="97"/>
      <c r="BK12" s="97"/>
      <c r="BL12" s="97"/>
      <c r="BM12" s="102"/>
      <c r="BN12" s="97"/>
      <c r="BO12" s="89"/>
      <c r="BP12" s="97"/>
      <c r="BQ12" s="97"/>
      <c r="BR12" s="97"/>
      <c r="BS12" s="97"/>
      <c r="BT12" s="97"/>
      <c r="BU12" s="97"/>
      <c r="BV12" s="97"/>
      <c r="BW12" s="89"/>
      <c r="BX12" s="97"/>
      <c r="BY12" s="97"/>
      <c r="BZ12" s="97"/>
      <c r="CA12" s="97"/>
      <c r="CB12" s="97"/>
      <c r="CC12" s="97"/>
      <c r="CD12" s="97"/>
      <c r="CE12" s="89"/>
      <c r="CF12" s="97"/>
      <c r="CG12" s="97"/>
      <c r="CH12" s="97"/>
      <c r="CI12" s="77"/>
      <c r="CJ12" s="97"/>
      <c r="CK12" s="97"/>
      <c r="CL12" s="97"/>
      <c r="CM12" s="89"/>
      <c r="CN12" s="97"/>
      <c r="CO12" s="97"/>
      <c r="CP12" s="97"/>
      <c r="CQ12" s="97"/>
      <c r="CR12" s="89"/>
      <c r="CS12" s="97"/>
      <c r="CT12" s="97"/>
      <c r="CU12" s="89"/>
      <c r="CV12" s="97"/>
      <c r="CW12" s="97"/>
      <c r="CX12" s="97"/>
      <c r="CY12" s="97"/>
      <c r="CZ12" s="89"/>
      <c r="DA12" s="97"/>
      <c r="DB12" s="97"/>
      <c r="DC12" s="89"/>
      <c r="DD12" s="97"/>
      <c r="DE12" s="97"/>
      <c r="DF12" s="97"/>
      <c r="DG12" s="97"/>
      <c r="DH12" s="89"/>
      <c r="DI12" s="97"/>
      <c r="DJ12" s="97"/>
      <c r="DK12" s="89"/>
      <c r="DL12" s="97"/>
      <c r="DM12" s="97"/>
      <c r="DN12" s="97"/>
      <c r="DO12" s="97"/>
      <c r="DP12" s="89"/>
      <c r="DQ12" s="97"/>
      <c r="DR12" s="97"/>
      <c r="DS12" s="89"/>
      <c r="DT12" s="97"/>
      <c r="DU12" s="97"/>
      <c r="DV12" s="97"/>
      <c r="DW12" s="97"/>
      <c r="DX12" s="97"/>
      <c r="DY12" s="97"/>
      <c r="DZ12" s="97"/>
      <c r="EA12" s="89"/>
      <c r="EB12" s="97"/>
      <c r="EC12" s="97"/>
      <c r="ED12" s="97"/>
      <c r="EE12" s="97"/>
      <c r="EF12" s="99"/>
    </row>
    <row r="13" spans="1:136" s="100" customFormat="1" ht="15" customHeight="1" x14ac:dyDescent="0.25">
      <c r="A13" s="42" t="s">
        <v>176</v>
      </c>
      <c r="B13" s="74">
        <v>42.9</v>
      </c>
      <c r="C13" s="90"/>
      <c r="D13" s="517"/>
      <c r="E13" s="517"/>
      <c r="F13" s="517"/>
      <c r="G13" s="517"/>
      <c r="H13" s="517"/>
      <c r="I13" s="517"/>
      <c r="J13" s="517"/>
      <c r="K13" s="517"/>
      <c r="L13" s="517"/>
      <c r="M13" s="518"/>
      <c r="N13" s="518"/>
      <c r="O13" s="518"/>
      <c r="P13" s="518"/>
      <c r="Q13" s="517"/>
      <c r="R13" s="517"/>
      <c r="S13" s="517"/>
      <c r="T13" s="517"/>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8"/>
      <c r="BJ13" s="97"/>
      <c r="BK13" s="97"/>
      <c r="BL13" s="97"/>
      <c r="BM13" s="102"/>
      <c r="BN13" s="97"/>
      <c r="BO13" s="89"/>
      <c r="BP13" s="97"/>
      <c r="BQ13" s="97"/>
      <c r="BR13" s="97"/>
      <c r="BS13" s="97"/>
      <c r="BT13" s="97"/>
      <c r="BU13" s="97"/>
      <c r="BV13" s="97"/>
      <c r="BW13" s="89"/>
      <c r="BX13" s="97"/>
      <c r="BY13" s="97"/>
      <c r="BZ13" s="97"/>
      <c r="CA13" s="97"/>
      <c r="CB13" s="97"/>
      <c r="CC13" s="97"/>
      <c r="CD13" s="97"/>
      <c r="CE13" s="89"/>
      <c r="CF13" s="97"/>
      <c r="CG13" s="97"/>
      <c r="CH13" s="97"/>
      <c r="CI13" s="77"/>
      <c r="CJ13" s="97"/>
      <c r="CK13" s="97"/>
      <c r="CL13" s="97"/>
      <c r="CM13" s="89"/>
      <c r="CN13" s="97"/>
      <c r="CO13" s="97"/>
      <c r="CP13" s="97"/>
      <c r="CQ13" s="97"/>
      <c r="CR13" s="89"/>
      <c r="CS13" s="97"/>
      <c r="CT13" s="97"/>
      <c r="CU13" s="89"/>
      <c r="CV13" s="97"/>
      <c r="CW13" s="97"/>
      <c r="CX13" s="97"/>
      <c r="CY13" s="97"/>
      <c r="CZ13" s="89"/>
      <c r="DA13" s="97"/>
      <c r="DB13" s="97"/>
      <c r="DC13" s="89"/>
      <c r="DD13" s="97"/>
      <c r="DE13" s="97"/>
      <c r="DF13" s="97"/>
      <c r="DG13" s="97"/>
      <c r="DH13" s="89"/>
      <c r="DI13" s="97"/>
      <c r="DJ13" s="97"/>
      <c r="DK13" s="89"/>
      <c r="DL13" s="97"/>
      <c r="DM13" s="97"/>
      <c r="DN13" s="97"/>
      <c r="DO13" s="97"/>
      <c r="DP13" s="89"/>
      <c r="DQ13" s="97"/>
      <c r="DR13" s="97"/>
      <c r="DS13" s="89"/>
      <c r="DT13" s="97"/>
      <c r="DU13" s="97"/>
      <c r="DV13" s="97"/>
      <c r="DW13" s="97"/>
      <c r="DX13" s="97"/>
      <c r="DY13" s="97"/>
      <c r="DZ13" s="97"/>
      <c r="EA13" s="89"/>
      <c r="EB13" s="97"/>
      <c r="EC13" s="97"/>
      <c r="ED13" s="97"/>
      <c r="EE13" s="97"/>
      <c r="EF13" s="99"/>
    </row>
    <row r="14" spans="1:136" s="100" customFormat="1" ht="15" customHeight="1" x14ac:dyDescent="0.25">
      <c r="A14" s="302"/>
      <c r="B14" s="74"/>
      <c r="C14" s="90"/>
      <c r="D14" s="517"/>
      <c r="E14" s="517"/>
      <c r="F14" s="517"/>
      <c r="G14" s="517"/>
      <c r="H14" s="517"/>
      <c r="I14" s="517"/>
      <c r="J14" s="517"/>
      <c r="K14" s="517"/>
      <c r="L14" s="517"/>
      <c r="M14" s="517"/>
      <c r="N14" s="517"/>
      <c r="O14" s="517"/>
      <c r="P14" s="517"/>
      <c r="Q14" s="517"/>
      <c r="R14" s="517"/>
      <c r="S14" s="517"/>
      <c r="T14" s="517"/>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8"/>
      <c r="BJ14" s="97"/>
      <c r="BK14" s="97"/>
      <c r="BL14" s="97"/>
      <c r="BM14" s="102"/>
      <c r="BN14" s="97"/>
      <c r="BO14" s="89"/>
      <c r="BP14" s="97"/>
      <c r="BQ14" s="97"/>
      <c r="BR14" s="97"/>
      <c r="BS14" s="97"/>
      <c r="BT14" s="97"/>
      <c r="BU14" s="97"/>
      <c r="BV14" s="97"/>
      <c r="BW14" s="89"/>
      <c r="BX14" s="97"/>
      <c r="BY14" s="97"/>
      <c r="BZ14" s="97"/>
      <c r="CA14" s="97"/>
      <c r="CB14" s="97"/>
      <c r="CC14" s="97"/>
      <c r="CD14" s="97"/>
      <c r="CE14" s="89"/>
      <c r="CF14" s="97"/>
      <c r="CG14" s="97"/>
      <c r="CH14" s="97"/>
      <c r="CI14" s="77"/>
      <c r="CJ14" s="97"/>
      <c r="CK14" s="97"/>
      <c r="CL14" s="97"/>
      <c r="CM14" s="89"/>
      <c r="CN14" s="97"/>
      <c r="CO14" s="97"/>
      <c r="CP14" s="97"/>
      <c r="CQ14" s="97"/>
      <c r="CR14" s="89"/>
      <c r="CS14" s="97"/>
      <c r="CT14" s="97"/>
      <c r="CU14" s="89"/>
      <c r="CV14" s="97"/>
      <c r="CW14" s="97"/>
      <c r="CX14" s="97"/>
      <c r="CY14" s="97"/>
      <c r="CZ14" s="89"/>
      <c r="DA14" s="97"/>
      <c r="DB14" s="97"/>
      <c r="DC14" s="89"/>
      <c r="DD14" s="97"/>
      <c r="DE14" s="97"/>
      <c r="DF14" s="97"/>
      <c r="DG14" s="97"/>
      <c r="DH14" s="89"/>
      <c r="DI14" s="97"/>
      <c r="DJ14" s="97"/>
      <c r="DK14" s="89"/>
      <c r="DL14" s="97"/>
      <c r="DM14" s="97"/>
      <c r="DN14" s="97"/>
      <c r="DO14" s="97"/>
      <c r="DP14" s="89"/>
      <c r="DQ14" s="97"/>
      <c r="DR14" s="97"/>
      <c r="DS14" s="89"/>
      <c r="DT14" s="97"/>
      <c r="DU14" s="97"/>
      <c r="DV14" s="97"/>
      <c r="DW14" s="97"/>
      <c r="DX14" s="97"/>
      <c r="DY14" s="97"/>
      <c r="DZ14" s="97"/>
      <c r="EA14" s="89"/>
      <c r="EB14" s="97"/>
      <c r="EC14" s="97"/>
      <c r="ED14" s="97"/>
      <c r="EE14" s="97"/>
      <c r="EF14" s="99"/>
    </row>
    <row r="15" spans="1:136" s="100" customFormat="1" ht="15" customHeight="1" x14ac:dyDescent="0.25">
      <c r="A15" s="42" t="s">
        <v>51</v>
      </c>
      <c r="B15" s="418">
        <v>0.4</v>
      </c>
      <c r="C15" s="90"/>
      <c r="D15" s="517"/>
      <c r="E15" s="517"/>
      <c r="F15" s="517"/>
      <c r="G15" s="517"/>
      <c r="H15" s="517"/>
      <c r="I15" s="517"/>
      <c r="J15" s="517"/>
      <c r="K15" s="517"/>
      <c r="L15" s="517"/>
      <c r="M15" s="517"/>
      <c r="N15" s="517"/>
      <c r="O15" s="517"/>
      <c r="P15" s="517"/>
      <c r="Q15" s="517"/>
      <c r="R15" s="517"/>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8"/>
      <c r="BJ15" s="97"/>
      <c r="BK15" s="97"/>
      <c r="BL15" s="97"/>
      <c r="BM15" s="102"/>
      <c r="BN15" s="97"/>
      <c r="BO15" s="89"/>
      <c r="BP15" s="97"/>
      <c r="BQ15" s="97"/>
      <c r="BR15" s="97"/>
      <c r="BS15" s="97"/>
      <c r="BT15" s="97"/>
      <c r="BU15" s="97"/>
      <c r="BV15" s="97"/>
      <c r="BW15" s="89"/>
      <c r="BX15" s="97"/>
      <c r="BY15" s="97"/>
      <c r="BZ15" s="97"/>
      <c r="CA15" s="97"/>
      <c r="CB15" s="97"/>
      <c r="CC15" s="97"/>
      <c r="CD15" s="97"/>
      <c r="CE15" s="89"/>
      <c r="CF15" s="97"/>
      <c r="CG15" s="97"/>
      <c r="CH15" s="97"/>
      <c r="CI15" s="77"/>
      <c r="CJ15" s="97"/>
      <c r="CK15" s="97"/>
      <c r="CL15" s="97"/>
      <c r="CM15" s="89"/>
      <c r="CN15" s="97"/>
      <c r="CO15" s="97"/>
      <c r="CP15" s="97"/>
      <c r="CQ15" s="97"/>
      <c r="CR15" s="89"/>
      <c r="CS15" s="97"/>
      <c r="CT15" s="97"/>
      <c r="CU15" s="89"/>
      <c r="CV15" s="97"/>
      <c r="CW15" s="97"/>
      <c r="CX15" s="97"/>
      <c r="CY15" s="97"/>
      <c r="CZ15" s="89"/>
      <c r="DA15" s="97"/>
      <c r="DB15" s="97"/>
      <c r="DC15" s="89"/>
      <c r="DD15" s="97"/>
      <c r="DE15" s="97"/>
      <c r="DF15" s="97"/>
      <c r="DG15" s="97"/>
      <c r="DH15" s="89"/>
      <c r="DI15" s="97"/>
      <c r="DJ15" s="97"/>
      <c r="DK15" s="89"/>
      <c r="DL15" s="97"/>
      <c r="DM15" s="97"/>
      <c r="DN15" s="97"/>
      <c r="DO15" s="97"/>
      <c r="DP15" s="89"/>
      <c r="DQ15" s="97"/>
      <c r="DR15" s="97"/>
      <c r="DS15" s="89"/>
      <c r="DT15" s="97"/>
      <c r="DU15" s="97"/>
      <c r="DV15" s="97"/>
      <c r="DW15" s="97"/>
      <c r="DX15" s="97"/>
      <c r="DY15" s="97"/>
      <c r="DZ15" s="97"/>
      <c r="EA15" s="89"/>
      <c r="EB15" s="97"/>
      <c r="EC15" s="97"/>
      <c r="ED15" s="97"/>
      <c r="EE15" s="97"/>
      <c r="EF15" s="99"/>
    </row>
    <row r="16" spans="1:136" s="100" customFormat="1" ht="15" customHeight="1" x14ac:dyDescent="0.25">
      <c r="A16" s="42" t="s">
        <v>52</v>
      </c>
      <c r="B16" s="74">
        <v>16.100000000000001</v>
      </c>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8"/>
      <c r="BJ16" s="97"/>
      <c r="BK16" s="97"/>
      <c r="BL16" s="97"/>
      <c r="BM16" s="97"/>
      <c r="BN16" s="97"/>
      <c r="BO16" s="89"/>
      <c r="BP16" s="97"/>
      <c r="BQ16" s="97"/>
      <c r="BR16" s="97"/>
      <c r="BS16" s="97"/>
      <c r="BT16" s="97"/>
      <c r="BU16" s="97"/>
      <c r="BV16" s="97"/>
      <c r="BW16" s="89"/>
      <c r="BX16" s="97"/>
      <c r="BY16" s="97"/>
      <c r="BZ16" s="97"/>
      <c r="CA16" s="97"/>
      <c r="CB16" s="97"/>
      <c r="CC16" s="97"/>
      <c r="CD16" s="97"/>
      <c r="CE16" s="89"/>
      <c r="CF16" s="97"/>
      <c r="CG16" s="97"/>
      <c r="CH16" s="97"/>
      <c r="CI16" s="97"/>
      <c r="CJ16" s="97"/>
      <c r="CK16" s="97"/>
      <c r="CL16" s="97"/>
      <c r="CM16" s="89"/>
      <c r="CN16" s="97"/>
      <c r="CO16" s="97"/>
      <c r="CP16" s="97"/>
      <c r="CQ16" s="97"/>
      <c r="CR16" s="89"/>
      <c r="CS16" s="97"/>
      <c r="CT16" s="97"/>
      <c r="CU16" s="89"/>
      <c r="CV16" s="97"/>
      <c r="CW16" s="97"/>
      <c r="CX16" s="97"/>
      <c r="CY16" s="97"/>
      <c r="CZ16" s="89"/>
      <c r="DA16" s="97"/>
      <c r="DB16" s="97"/>
      <c r="DC16" s="89"/>
      <c r="DD16" s="97"/>
      <c r="DE16" s="97"/>
      <c r="DF16" s="97"/>
      <c r="DG16" s="97"/>
      <c r="DH16" s="89"/>
      <c r="DI16" s="97"/>
      <c r="DJ16" s="97"/>
      <c r="DK16" s="89"/>
      <c r="DL16" s="97"/>
      <c r="DM16" s="97"/>
      <c r="DN16" s="97"/>
      <c r="DO16" s="97"/>
      <c r="DP16" s="89"/>
      <c r="DQ16" s="97"/>
      <c r="DR16" s="97"/>
      <c r="DS16" s="89"/>
      <c r="DT16" s="97"/>
      <c r="DU16" s="97"/>
      <c r="DV16" s="97"/>
      <c r="DW16" s="97"/>
      <c r="DX16" s="97"/>
      <c r="DY16" s="97"/>
      <c r="DZ16" s="97"/>
      <c r="EA16" s="89"/>
      <c r="EB16" s="97"/>
      <c r="EC16" s="97"/>
      <c r="ED16" s="97"/>
      <c r="EE16" s="97"/>
      <c r="EF16" s="99"/>
    </row>
    <row r="17" spans="1:136" s="100" customFormat="1" ht="15" customHeight="1" x14ac:dyDescent="0.25">
      <c r="A17" s="42" t="s">
        <v>53</v>
      </c>
      <c r="B17" s="74">
        <v>2.2999999999999998</v>
      </c>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8"/>
      <c r="BJ17" s="97"/>
      <c r="BK17" s="97"/>
      <c r="BL17" s="97"/>
      <c r="BM17" s="97"/>
      <c r="BN17" s="97"/>
      <c r="BO17" s="89"/>
      <c r="BP17" s="97"/>
      <c r="BQ17" s="97"/>
      <c r="BR17" s="97"/>
      <c r="BS17" s="97"/>
      <c r="BT17" s="97"/>
      <c r="BU17" s="97"/>
      <c r="BV17" s="97"/>
      <c r="BW17" s="89"/>
      <c r="BX17" s="97"/>
      <c r="BY17" s="97"/>
      <c r="BZ17" s="97"/>
      <c r="CA17" s="97"/>
      <c r="CB17" s="97"/>
      <c r="CC17" s="97"/>
      <c r="CD17" s="97"/>
      <c r="CE17" s="89"/>
      <c r="CF17" s="97"/>
      <c r="CG17" s="97"/>
      <c r="CH17" s="97"/>
      <c r="CI17" s="97"/>
      <c r="CJ17" s="97"/>
      <c r="CK17" s="97"/>
      <c r="CL17" s="97"/>
      <c r="CM17" s="89"/>
      <c r="CN17" s="97"/>
      <c r="CO17" s="97"/>
      <c r="CP17" s="97"/>
      <c r="CQ17" s="97"/>
      <c r="CR17" s="89"/>
      <c r="CS17" s="97"/>
      <c r="CT17" s="97"/>
      <c r="CU17" s="89"/>
      <c r="CV17" s="97"/>
      <c r="CW17" s="97"/>
      <c r="CX17" s="97"/>
      <c r="CY17" s="97"/>
      <c r="CZ17" s="89"/>
      <c r="DA17" s="97"/>
      <c r="DB17" s="97"/>
      <c r="DC17" s="89"/>
      <c r="DD17" s="97"/>
      <c r="DE17" s="97"/>
      <c r="DF17" s="97"/>
      <c r="DG17" s="97"/>
      <c r="DH17" s="89"/>
      <c r="DI17" s="97"/>
      <c r="DJ17" s="97"/>
      <c r="DK17" s="89"/>
      <c r="DL17" s="97"/>
      <c r="DM17" s="97"/>
      <c r="DN17" s="97"/>
      <c r="DO17" s="97"/>
      <c r="DP17" s="89"/>
      <c r="DQ17" s="97"/>
      <c r="DR17" s="97"/>
      <c r="DS17" s="89"/>
      <c r="DT17" s="97"/>
      <c r="DU17" s="97"/>
      <c r="DV17" s="97"/>
      <c r="DW17" s="97"/>
      <c r="DX17" s="97"/>
      <c r="DY17" s="97"/>
      <c r="DZ17" s="97"/>
      <c r="EA17" s="89"/>
      <c r="EB17" s="97"/>
      <c r="EC17" s="97"/>
      <c r="ED17" s="97"/>
      <c r="EE17" s="97"/>
      <c r="EF17" s="99"/>
    </row>
    <row r="18" spans="1:136" s="100" customFormat="1" ht="15" customHeight="1" x14ac:dyDescent="0.25">
      <c r="A18" s="42" t="s">
        <v>177</v>
      </c>
      <c r="B18" s="74">
        <v>5.3</v>
      </c>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8"/>
      <c r="BJ18" s="97"/>
      <c r="BK18" s="97"/>
      <c r="BL18" s="97"/>
      <c r="BM18" s="97"/>
      <c r="BN18" s="97"/>
      <c r="BO18" s="89"/>
      <c r="BP18" s="97"/>
      <c r="BQ18" s="97"/>
      <c r="BR18" s="97"/>
      <c r="BS18" s="97"/>
      <c r="BT18" s="97"/>
      <c r="BU18" s="97"/>
      <c r="BV18" s="97"/>
      <c r="BW18" s="89"/>
      <c r="BX18" s="97"/>
      <c r="BY18" s="97"/>
      <c r="BZ18" s="97"/>
      <c r="CA18" s="97"/>
      <c r="CB18" s="97"/>
      <c r="CC18" s="97"/>
      <c r="CD18" s="97"/>
      <c r="CE18" s="89"/>
      <c r="CF18" s="97"/>
      <c r="CG18" s="97"/>
      <c r="CH18" s="97"/>
      <c r="CI18" s="97"/>
      <c r="CJ18" s="97"/>
      <c r="CK18" s="97"/>
      <c r="CL18" s="97"/>
      <c r="CM18" s="89"/>
      <c r="CN18" s="97"/>
      <c r="CO18" s="97"/>
      <c r="CP18" s="97"/>
      <c r="CQ18" s="97"/>
      <c r="CR18" s="89"/>
      <c r="CS18" s="97"/>
      <c r="CT18" s="97"/>
      <c r="CU18" s="89"/>
      <c r="CV18" s="97"/>
      <c r="CW18" s="97"/>
      <c r="CX18" s="97"/>
      <c r="CY18" s="97"/>
      <c r="CZ18" s="89"/>
      <c r="DA18" s="97"/>
      <c r="DB18" s="97"/>
      <c r="DC18" s="89"/>
      <c r="DD18" s="97"/>
      <c r="DE18" s="97"/>
      <c r="DF18" s="97"/>
      <c r="DG18" s="97"/>
      <c r="DH18" s="89"/>
      <c r="DI18" s="97"/>
      <c r="DJ18" s="97"/>
      <c r="DK18" s="89"/>
      <c r="DL18" s="97"/>
      <c r="DM18" s="97"/>
      <c r="DN18" s="97"/>
      <c r="DO18" s="97"/>
      <c r="DP18" s="89"/>
      <c r="DQ18" s="97"/>
      <c r="DR18" s="97"/>
      <c r="DS18" s="89"/>
      <c r="DT18" s="97"/>
      <c r="DU18" s="97"/>
      <c r="DV18" s="97"/>
      <c r="DW18" s="97"/>
      <c r="DX18" s="97"/>
      <c r="DY18" s="97"/>
      <c r="DZ18" s="97"/>
      <c r="EA18" s="89"/>
      <c r="EB18" s="97"/>
      <c r="EC18" s="97"/>
      <c r="ED18" s="97"/>
      <c r="EE18" s="97"/>
      <c r="EF18" s="99"/>
    </row>
    <row r="19" spans="1:136" s="100" customFormat="1" ht="15.75" thickBot="1" x14ac:dyDescent="0.3">
      <c r="A19" s="87" t="s">
        <v>206</v>
      </c>
      <c r="B19" s="219">
        <v>98</v>
      </c>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8"/>
      <c r="BJ19" s="103"/>
      <c r="BK19" s="97"/>
      <c r="BL19" s="97"/>
      <c r="BM19" s="97"/>
      <c r="BN19" s="97"/>
      <c r="BO19" s="89"/>
      <c r="BP19" s="97"/>
      <c r="BQ19" s="97"/>
      <c r="BR19" s="97"/>
      <c r="BS19" s="97"/>
      <c r="BT19" s="97"/>
      <c r="BU19" s="97"/>
      <c r="BV19" s="97"/>
      <c r="BW19" s="89"/>
      <c r="BX19" s="97"/>
      <c r="BY19" s="97"/>
      <c r="BZ19" s="97"/>
      <c r="CA19" s="97"/>
      <c r="CB19" s="97"/>
      <c r="CC19" s="97"/>
      <c r="CD19" s="97"/>
      <c r="CE19" s="89"/>
      <c r="CF19" s="97"/>
      <c r="CG19" s="97"/>
      <c r="CH19" s="97"/>
      <c r="CI19" s="97"/>
      <c r="CJ19" s="97"/>
      <c r="CK19" s="97"/>
      <c r="CL19" s="97"/>
      <c r="CM19" s="89"/>
      <c r="CN19" s="97"/>
      <c r="CO19" s="97"/>
      <c r="CP19" s="97"/>
      <c r="CQ19" s="97"/>
      <c r="CR19" s="89"/>
      <c r="CS19" s="97"/>
      <c r="CT19" s="97"/>
      <c r="CU19" s="89"/>
      <c r="CV19" s="97"/>
      <c r="CW19" s="97"/>
      <c r="CX19" s="97"/>
      <c r="CY19" s="97"/>
      <c r="CZ19" s="89"/>
      <c r="DA19" s="97"/>
      <c r="DB19" s="97"/>
      <c r="DC19" s="89"/>
      <c r="DD19" s="97"/>
      <c r="DE19" s="97"/>
      <c r="DF19" s="97"/>
      <c r="DG19" s="97"/>
      <c r="DH19" s="89"/>
      <c r="DI19" s="97"/>
      <c r="DJ19" s="97"/>
      <c r="DK19" s="89"/>
      <c r="DL19" s="97"/>
      <c r="DM19" s="97"/>
      <c r="DN19" s="97"/>
      <c r="DO19" s="97"/>
      <c r="DP19" s="89"/>
      <c r="DQ19" s="97"/>
      <c r="DR19" s="97"/>
      <c r="DS19" s="89"/>
      <c r="DT19" s="97"/>
      <c r="DU19" s="97"/>
      <c r="DV19" s="97"/>
      <c r="DW19" s="97"/>
      <c r="DX19" s="97"/>
      <c r="DY19" s="97"/>
      <c r="DZ19" s="97"/>
      <c r="EA19" s="89"/>
      <c r="EB19" s="97"/>
      <c r="EC19" s="97"/>
      <c r="ED19" s="97"/>
      <c r="EE19" s="97"/>
      <c r="EF19" s="99"/>
    </row>
    <row r="20" spans="1:136" s="100" customFormat="1" x14ac:dyDescent="0.25">
      <c r="A20" s="88"/>
      <c r="B20" s="89"/>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103"/>
      <c r="BL20" s="103"/>
      <c r="BM20" s="103"/>
      <c r="BN20" s="103"/>
      <c r="BO20" s="89"/>
      <c r="BP20" s="103"/>
      <c r="BQ20" s="103"/>
      <c r="BR20" s="103"/>
      <c r="BS20" s="103"/>
      <c r="BT20" s="103"/>
      <c r="BU20" s="103"/>
      <c r="BV20" s="103"/>
      <c r="BW20" s="89"/>
      <c r="BX20" s="103"/>
      <c r="BY20" s="103"/>
      <c r="BZ20" s="103"/>
      <c r="CA20" s="103"/>
      <c r="CB20" s="103"/>
      <c r="CC20" s="103"/>
      <c r="CD20" s="103"/>
      <c r="CE20" s="89"/>
      <c r="CF20" s="103"/>
      <c r="CG20" s="103"/>
      <c r="CH20" s="103"/>
      <c r="CI20" s="103"/>
      <c r="CJ20" s="103"/>
      <c r="CK20" s="103"/>
      <c r="CL20" s="103"/>
      <c r="CM20" s="89"/>
      <c r="CN20" s="103"/>
      <c r="CO20" s="103"/>
      <c r="CP20" s="103"/>
      <c r="CQ20" s="103"/>
      <c r="CR20" s="89"/>
      <c r="CS20" s="103"/>
      <c r="CT20" s="103"/>
      <c r="CU20" s="89"/>
      <c r="CV20" s="103"/>
      <c r="CW20" s="103"/>
      <c r="CX20" s="103"/>
      <c r="CY20" s="103"/>
      <c r="CZ20" s="89"/>
      <c r="DA20" s="103"/>
      <c r="DB20" s="103"/>
      <c r="DC20" s="89"/>
      <c r="DD20" s="103"/>
      <c r="DE20" s="103"/>
      <c r="DF20" s="103"/>
      <c r="DG20" s="103"/>
      <c r="DH20" s="89"/>
      <c r="DI20" s="103"/>
      <c r="DJ20" s="103"/>
      <c r="DK20" s="89"/>
      <c r="DL20" s="103"/>
      <c r="DM20" s="103"/>
      <c r="DN20" s="103"/>
      <c r="DO20" s="103"/>
      <c r="DP20" s="89"/>
      <c r="DQ20" s="103"/>
      <c r="DR20" s="103"/>
      <c r="DS20" s="89"/>
      <c r="DT20" s="103"/>
      <c r="DU20" s="103"/>
      <c r="DV20" s="103"/>
      <c r="DW20" s="103"/>
      <c r="DX20" s="103"/>
      <c r="DY20" s="103"/>
      <c r="DZ20" s="103"/>
      <c r="EA20" s="89"/>
      <c r="EB20" s="103"/>
      <c r="EC20" s="103"/>
      <c r="ED20" s="103"/>
      <c r="EE20" s="103"/>
      <c r="EF20" s="104"/>
    </row>
    <row r="21" spans="1:136" ht="15.75" thickBot="1" x14ac:dyDescent="0.3">
      <c r="A21" s="42"/>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77"/>
      <c r="BP21" s="105"/>
      <c r="BQ21" s="105"/>
      <c r="BR21" s="105"/>
      <c r="BS21" s="105"/>
      <c r="BT21" s="105"/>
      <c r="BU21" s="105"/>
      <c r="BV21" s="105"/>
      <c r="BW21" s="77"/>
      <c r="BX21" s="105"/>
      <c r="BY21" s="105"/>
      <c r="BZ21" s="105"/>
      <c r="CA21" s="105"/>
      <c r="CB21" s="105"/>
      <c r="CC21" s="105"/>
      <c r="CD21" s="105"/>
      <c r="CE21" s="77"/>
      <c r="CF21" s="105"/>
      <c r="CG21" s="105"/>
      <c r="CH21" s="105"/>
      <c r="CI21" s="105"/>
      <c r="CJ21" s="105"/>
      <c r="CK21" s="105"/>
      <c r="CL21" s="105"/>
      <c r="CM21" s="77"/>
      <c r="CN21" s="105"/>
      <c r="CO21" s="105"/>
      <c r="CP21" s="105"/>
      <c r="CQ21" s="105"/>
      <c r="CR21" s="105"/>
      <c r="CS21" s="105"/>
      <c r="CT21" s="105"/>
      <c r="CU21" s="77"/>
      <c r="CV21" s="105"/>
      <c r="CW21" s="105"/>
      <c r="CX21" s="105"/>
      <c r="CY21" s="105"/>
      <c r="CZ21" s="105"/>
      <c r="DA21" s="105"/>
      <c r="DB21" s="105"/>
      <c r="DC21" s="77"/>
      <c r="DD21" s="105"/>
      <c r="DE21" s="105"/>
      <c r="DF21" s="105"/>
      <c r="DG21" s="105"/>
      <c r="DH21" s="105"/>
      <c r="DI21" s="105"/>
      <c r="DJ21" s="105"/>
      <c r="DK21" s="77"/>
      <c r="DL21" s="105"/>
      <c r="DM21" s="105"/>
      <c r="DN21" s="105"/>
      <c r="DO21" s="105"/>
      <c r="DP21" s="105"/>
      <c r="DQ21" s="105"/>
      <c r="DR21" s="105"/>
      <c r="DS21" s="77"/>
      <c r="DT21" s="105"/>
      <c r="DU21" s="105"/>
      <c r="DV21" s="105"/>
      <c r="DW21" s="105"/>
      <c r="DX21" s="105"/>
      <c r="DY21" s="105"/>
      <c r="DZ21" s="105"/>
      <c r="EA21" s="77"/>
      <c r="EB21" s="105"/>
      <c r="EC21" s="105"/>
      <c r="ED21" s="105"/>
      <c r="EE21" s="105"/>
      <c r="EF21" s="106"/>
    </row>
    <row r="22" spans="1:136" ht="15.75" thickBot="1" x14ac:dyDescent="0.3">
      <c r="A22" s="77"/>
      <c r="B22" s="248"/>
      <c r="C22" s="248"/>
      <c r="D22" s="807">
        <v>2022</v>
      </c>
      <c r="E22" s="808"/>
      <c r="F22" s="808"/>
      <c r="G22" s="808"/>
      <c r="H22" s="808"/>
      <c r="I22" s="808"/>
      <c r="J22" s="809"/>
      <c r="K22" s="248"/>
      <c r="L22" s="813">
        <v>2021</v>
      </c>
      <c r="M22" s="814"/>
      <c r="N22" s="814"/>
      <c r="O22" s="814"/>
      <c r="P22" s="814"/>
      <c r="Q22" s="814"/>
      <c r="R22" s="815"/>
      <c r="S22" s="248"/>
      <c r="T22" s="813">
        <v>2020</v>
      </c>
      <c r="U22" s="814"/>
      <c r="V22" s="814"/>
      <c r="W22" s="814"/>
      <c r="X22" s="814"/>
      <c r="Y22" s="814"/>
      <c r="Z22" s="815"/>
      <c r="AA22" s="248"/>
      <c r="AB22" s="813">
        <v>2019</v>
      </c>
      <c r="AC22" s="814"/>
      <c r="AD22" s="814"/>
      <c r="AE22" s="814"/>
      <c r="AF22" s="814"/>
      <c r="AG22" s="814"/>
      <c r="AH22" s="815"/>
      <c r="AI22" s="248"/>
      <c r="AJ22" s="813">
        <v>2018</v>
      </c>
      <c r="AK22" s="814"/>
      <c r="AL22" s="814"/>
      <c r="AM22" s="814"/>
      <c r="AN22" s="814"/>
      <c r="AO22" s="814"/>
      <c r="AP22" s="815"/>
      <c r="AQ22" s="173"/>
      <c r="AR22" s="813">
        <v>2017</v>
      </c>
      <c r="AS22" s="814"/>
      <c r="AT22" s="814"/>
      <c r="AU22" s="814"/>
      <c r="AV22" s="814"/>
      <c r="AW22" s="814"/>
      <c r="AX22" s="815"/>
      <c r="AY22" s="173"/>
      <c r="AZ22" s="813">
        <v>2016</v>
      </c>
      <c r="BA22" s="814"/>
      <c r="BB22" s="814"/>
      <c r="BC22" s="814"/>
      <c r="BD22" s="814"/>
      <c r="BE22" s="814"/>
      <c r="BF22" s="815"/>
      <c r="BG22" s="248"/>
      <c r="BH22" s="813">
        <v>2015</v>
      </c>
      <c r="BI22" s="814"/>
      <c r="BJ22" s="814"/>
      <c r="BK22" s="814"/>
      <c r="BL22" s="814"/>
      <c r="BM22" s="814"/>
      <c r="BN22" s="815"/>
      <c r="BO22" s="77"/>
      <c r="BP22" s="813">
        <v>2014</v>
      </c>
      <c r="BQ22" s="814"/>
      <c r="BR22" s="814"/>
      <c r="BS22" s="814"/>
      <c r="BT22" s="814"/>
      <c r="BU22" s="814"/>
      <c r="BV22" s="815"/>
      <c r="BW22" s="77"/>
      <c r="BX22" s="813">
        <v>2013</v>
      </c>
      <c r="BY22" s="814"/>
      <c r="BZ22" s="814"/>
      <c r="CA22" s="814"/>
      <c r="CB22" s="814"/>
      <c r="CC22" s="814"/>
      <c r="CD22" s="815"/>
      <c r="CE22" s="77"/>
      <c r="CF22" s="813">
        <v>2012</v>
      </c>
      <c r="CG22" s="814"/>
      <c r="CH22" s="814"/>
      <c r="CI22" s="814"/>
      <c r="CJ22" s="814"/>
      <c r="CK22" s="814"/>
      <c r="CL22" s="815"/>
      <c r="CM22" s="77"/>
      <c r="CN22" s="813">
        <v>2011</v>
      </c>
      <c r="CO22" s="814"/>
      <c r="CP22" s="814"/>
      <c r="CQ22" s="814"/>
      <c r="CR22" s="814"/>
      <c r="CS22" s="814"/>
      <c r="CT22" s="815"/>
      <c r="CU22" s="77"/>
      <c r="CV22" s="813">
        <v>2010</v>
      </c>
      <c r="CW22" s="814"/>
      <c r="CX22" s="814"/>
      <c r="CY22" s="814"/>
      <c r="CZ22" s="814"/>
      <c r="DA22" s="814"/>
      <c r="DB22" s="815"/>
      <c r="DC22" s="77"/>
      <c r="DD22" s="813">
        <v>2009</v>
      </c>
      <c r="DE22" s="814"/>
      <c r="DF22" s="814"/>
      <c r="DG22" s="814"/>
      <c r="DH22" s="814"/>
      <c r="DI22" s="814"/>
      <c r="DJ22" s="815"/>
      <c r="DK22" s="77"/>
      <c r="DL22" s="813">
        <v>2008</v>
      </c>
      <c r="DM22" s="814"/>
      <c r="DN22" s="814"/>
      <c r="DO22" s="814"/>
      <c r="DP22" s="814"/>
      <c r="DQ22" s="814"/>
      <c r="DR22" s="815"/>
      <c r="DS22" s="77"/>
      <c r="DT22" s="813">
        <v>2007</v>
      </c>
      <c r="DU22" s="814"/>
      <c r="DV22" s="814"/>
      <c r="DW22" s="814"/>
      <c r="DX22" s="814"/>
      <c r="DY22" s="814"/>
      <c r="DZ22" s="815"/>
      <c r="EA22" s="77"/>
      <c r="EB22" s="813">
        <v>2006</v>
      </c>
      <c r="EC22" s="814"/>
      <c r="ED22" s="814"/>
      <c r="EE22" s="814"/>
      <c r="EF22" s="815"/>
    </row>
    <row r="23" spans="1:136" s="158" customFormat="1" x14ac:dyDescent="0.25">
      <c r="A23" s="115"/>
      <c r="B23" s="97"/>
      <c r="C23" s="97"/>
      <c r="D23" s="521" t="s">
        <v>3</v>
      </c>
      <c r="E23" s="97" t="s">
        <v>4</v>
      </c>
      <c r="F23" s="97" t="s">
        <v>5</v>
      </c>
      <c r="G23" s="10" t="s">
        <v>6</v>
      </c>
      <c r="H23" s="10" t="s">
        <v>7</v>
      </c>
      <c r="I23" s="81" t="str">
        <f>Q23</f>
        <v>Q4 QTD</v>
      </c>
      <c r="J23" s="99" t="str">
        <f>R23</f>
        <v>Q4 YTD</v>
      </c>
      <c r="K23" s="97"/>
      <c r="L23" s="153" t="s">
        <v>3</v>
      </c>
      <c r="M23" s="97" t="s">
        <v>4</v>
      </c>
      <c r="N23" s="97" t="s">
        <v>5</v>
      </c>
      <c r="O23" s="97" t="s">
        <v>6</v>
      </c>
      <c r="P23" s="97" t="s">
        <v>7</v>
      </c>
      <c r="Q23" s="97" t="s">
        <v>8</v>
      </c>
      <c r="R23" s="99" t="s">
        <v>9</v>
      </c>
      <c r="S23" s="97"/>
      <c r="T23" s="153" t="s">
        <v>3</v>
      </c>
      <c r="U23" s="97" t="s">
        <v>4</v>
      </c>
      <c r="V23" s="97" t="s">
        <v>5</v>
      </c>
      <c r="W23" s="97" t="s">
        <v>6</v>
      </c>
      <c r="X23" s="97" t="s">
        <v>7</v>
      </c>
      <c r="Y23" s="97" t="s">
        <v>8</v>
      </c>
      <c r="Z23" s="99" t="s">
        <v>9</v>
      </c>
      <c r="AA23" s="97"/>
      <c r="AB23" s="153" t="s">
        <v>3</v>
      </c>
      <c r="AC23" s="97" t="s">
        <v>4</v>
      </c>
      <c r="AD23" s="97" t="s">
        <v>5</v>
      </c>
      <c r="AE23" s="97" t="s">
        <v>6</v>
      </c>
      <c r="AF23" s="97" t="s">
        <v>7</v>
      </c>
      <c r="AG23" s="97" t="s">
        <v>8</v>
      </c>
      <c r="AH23" s="99" t="s">
        <v>9</v>
      </c>
      <c r="AI23" s="97"/>
      <c r="AJ23" s="153" t="s">
        <v>3</v>
      </c>
      <c r="AK23" s="97" t="s">
        <v>4</v>
      </c>
      <c r="AL23" s="97" t="s">
        <v>5</v>
      </c>
      <c r="AM23" s="97" t="s">
        <v>6</v>
      </c>
      <c r="AN23" s="97" t="s">
        <v>7</v>
      </c>
      <c r="AO23" s="97" t="s">
        <v>8</v>
      </c>
      <c r="AP23" s="99" t="s">
        <v>9</v>
      </c>
      <c r="AQ23" s="173"/>
      <c r="AR23" s="153" t="s">
        <v>3</v>
      </c>
      <c r="AS23" s="97" t="s">
        <v>4</v>
      </c>
      <c r="AT23" s="97" t="s">
        <v>5</v>
      </c>
      <c r="AU23" s="97" t="s">
        <v>6</v>
      </c>
      <c r="AV23" s="97" t="s">
        <v>7</v>
      </c>
      <c r="AW23" s="97" t="s">
        <v>8</v>
      </c>
      <c r="AX23" s="99" t="s">
        <v>9</v>
      </c>
      <c r="AY23" s="173"/>
      <c r="AZ23" s="153" t="s">
        <v>3</v>
      </c>
      <c r="BA23" s="97" t="s">
        <v>4</v>
      </c>
      <c r="BB23" s="97" t="s">
        <v>5</v>
      </c>
      <c r="BC23" s="97" t="s">
        <v>6</v>
      </c>
      <c r="BD23" s="97" t="s">
        <v>7</v>
      </c>
      <c r="BE23" s="97" t="s">
        <v>8</v>
      </c>
      <c r="BF23" s="99" t="s">
        <v>9</v>
      </c>
      <c r="BG23" s="97"/>
      <c r="BH23" s="153" t="s">
        <v>3</v>
      </c>
      <c r="BI23" s="97" t="s">
        <v>4</v>
      </c>
      <c r="BJ23" s="97" t="s">
        <v>5</v>
      </c>
      <c r="BK23" s="97" t="s">
        <v>6</v>
      </c>
      <c r="BL23" s="97" t="s">
        <v>7</v>
      </c>
      <c r="BM23" s="97" t="s">
        <v>8</v>
      </c>
      <c r="BN23" s="99" t="s">
        <v>9</v>
      </c>
      <c r="BO23" s="115"/>
      <c r="BP23" s="153" t="s">
        <v>3</v>
      </c>
      <c r="BQ23" s="97" t="s">
        <v>4</v>
      </c>
      <c r="BR23" s="97" t="s">
        <v>5</v>
      </c>
      <c r="BS23" s="97" t="s">
        <v>6</v>
      </c>
      <c r="BT23" s="97" t="s">
        <v>7</v>
      </c>
      <c r="BU23" s="97" t="s">
        <v>8</v>
      </c>
      <c r="BV23" s="99" t="s">
        <v>9</v>
      </c>
      <c r="BW23" s="115"/>
      <c r="BX23" s="153" t="s">
        <v>3</v>
      </c>
      <c r="BY23" s="97" t="s">
        <v>4</v>
      </c>
      <c r="BZ23" s="97" t="s">
        <v>5</v>
      </c>
      <c r="CA23" s="97" t="s">
        <v>6</v>
      </c>
      <c r="CB23" s="97" t="s">
        <v>7</v>
      </c>
      <c r="CC23" s="97" t="s">
        <v>8</v>
      </c>
      <c r="CD23" s="99" t="s">
        <v>9</v>
      </c>
      <c r="CE23" s="115"/>
      <c r="CF23" s="153" t="s">
        <v>3</v>
      </c>
      <c r="CG23" s="97" t="s">
        <v>4</v>
      </c>
      <c r="CH23" s="97" t="s">
        <v>5</v>
      </c>
      <c r="CI23" s="97" t="s">
        <v>6</v>
      </c>
      <c r="CJ23" s="97" t="s">
        <v>7</v>
      </c>
      <c r="CK23" s="97" t="s">
        <v>8</v>
      </c>
      <c r="CL23" s="99" t="s">
        <v>9</v>
      </c>
      <c r="CM23" s="115"/>
      <c r="CN23" s="153" t="s">
        <v>3</v>
      </c>
      <c r="CO23" s="97" t="s">
        <v>4</v>
      </c>
      <c r="CP23" s="97" t="s">
        <v>5</v>
      </c>
      <c r="CQ23" s="97" t="s">
        <v>6</v>
      </c>
      <c r="CR23" s="97" t="s">
        <v>7</v>
      </c>
      <c r="CS23" s="97" t="s">
        <v>8</v>
      </c>
      <c r="CT23" s="99" t="s">
        <v>9</v>
      </c>
      <c r="CU23" s="115"/>
      <c r="CV23" s="153" t="s">
        <v>3</v>
      </c>
      <c r="CW23" s="97" t="s">
        <v>4</v>
      </c>
      <c r="CX23" s="97" t="s">
        <v>5</v>
      </c>
      <c r="CY23" s="97" t="s">
        <v>6</v>
      </c>
      <c r="CZ23" s="97" t="s">
        <v>7</v>
      </c>
      <c r="DA23" s="97" t="s">
        <v>8</v>
      </c>
      <c r="DB23" s="99" t="s">
        <v>9</v>
      </c>
      <c r="DC23" s="115"/>
      <c r="DD23" s="153" t="s">
        <v>3</v>
      </c>
      <c r="DE23" s="97" t="s">
        <v>4</v>
      </c>
      <c r="DF23" s="97" t="s">
        <v>5</v>
      </c>
      <c r="DG23" s="97" t="s">
        <v>6</v>
      </c>
      <c r="DH23" s="97" t="s">
        <v>7</v>
      </c>
      <c r="DI23" s="97" t="s">
        <v>8</v>
      </c>
      <c r="DJ23" s="99" t="s">
        <v>9</v>
      </c>
      <c r="DK23" s="115"/>
      <c r="DL23" s="153" t="s">
        <v>3</v>
      </c>
      <c r="DM23" s="97" t="s">
        <v>4</v>
      </c>
      <c r="DN23" s="97" t="s">
        <v>5</v>
      </c>
      <c r="DO23" s="97" t="s">
        <v>6</v>
      </c>
      <c r="DP23" s="97" t="s">
        <v>7</v>
      </c>
      <c r="DQ23" s="97" t="s">
        <v>8</v>
      </c>
      <c r="DR23" s="99" t="s">
        <v>9</v>
      </c>
      <c r="DS23" s="115"/>
      <c r="DT23" s="153" t="s">
        <v>3</v>
      </c>
      <c r="DU23" s="97" t="s">
        <v>4</v>
      </c>
      <c r="DV23" s="97" t="s">
        <v>5</v>
      </c>
      <c r="DW23" s="97" t="s">
        <v>6</v>
      </c>
      <c r="DX23" s="97" t="s">
        <v>7</v>
      </c>
      <c r="DY23" s="97" t="s">
        <v>8</v>
      </c>
      <c r="DZ23" s="99" t="s">
        <v>9</v>
      </c>
      <c r="EA23" s="115"/>
      <c r="EB23" s="153" t="s">
        <v>5</v>
      </c>
      <c r="EC23" s="97" t="s">
        <v>6</v>
      </c>
      <c r="ED23" s="97" t="s">
        <v>7</v>
      </c>
      <c r="EE23" s="97" t="s">
        <v>8</v>
      </c>
      <c r="EF23" s="99" t="s">
        <v>9</v>
      </c>
    </row>
    <row r="24" spans="1:136" x14ac:dyDescent="0.25">
      <c r="A24" s="77"/>
      <c r="B24" s="105"/>
      <c r="C24" s="105"/>
      <c r="D24" s="107"/>
      <c r="E24" s="441"/>
      <c r="F24" s="441"/>
      <c r="G24" s="441"/>
      <c r="H24" s="441"/>
      <c r="I24" s="441"/>
      <c r="J24" s="106"/>
      <c r="K24" s="105"/>
      <c r="L24" s="107"/>
      <c r="M24" s="441"/>
      <c r="N24" s="441"/>
      <c r="O24" s="441"/>
      <c r="P24" s="441"/>
      <c r="Q24" s="441"/>
      <c r="R24" s="106"/>
      <c r="S24" s="105"/>
      <c r="T24" s="107"/>
      <c r="U24" s="441"/>
      <c r="V24" s="441"/>
      <c r="W24" s="441"/>
      <c r="X24" s="441"/>
      <c r="Y24" s="441"/>
      <c r="Z24" s="106"/>
      <c r="AA24" s="105"/>
      <c r="AB24" s="107"/>
      <c r="AC24" s="105"/>
      <c r="AD24" s="105"/>
      <c r="AE24" s="105"/>
      <c r="AF24" s="105"/>
      <c r="AG24" s="105"/>
      <c r="AH24" s="106"/>
      <c r="AI24" s="105"/>
      <c r="AJ24" s="107"/>
      <c r="AK24" s="105"/>
      <c r="AL24" s="105"/>
      <c r="AM24" s="105"/>
      <c r="AN24" s="105"/>
      <c r="AO24" s="105"/>
      <c r="AP24" s="106"/>
      <c r="AQ24" s="105"/>
      <c r="AR24" s="107"/>
      <c r="AS24" s="105"/>
      <c r="AT24" s="105"/>
      <c r="AU24" s="105"/>
      <c r="AV24" s="105"/>
      <c r="AW24" s="105"/>
      <c r="AX24" s="106"/>
      <c r="AY24" s="105"/>
      <c r="AZ24" s="107"/>
      <c r="BA24" s="105"/>
      <c r="BB24" s="105"/>
      <c r="BC24" s="105"/>
      <c r="BD24" s="105"/>
      <c r="BE24" s="105"/>
      <c r="BF24" s="106"/>
      <c r="BG24" s="105"/>
      <c r="BH24" s="107"/>
      <c r="BI24" s="105"/>
      <c r="BJ24" s="105"/>
      <c r="BK24" s="105"/>
      <c r="BL24" s="105"/>
      <c r="BM24" s="105"/>
      <c r="BN24" s="106"/>
      <c r="BO24" s="77"/>
      <c r="BP24" s="107"/>
      <c r="BQ24" s="105"/>
      <c r="BR24" s="105"/>
      <c r="BS24" s="105"/>
      <c r="BT24" s="105"/>
      <c r="BU24" s="105"/>
      <c r="BV24" s="106"/>
      <c r="BW24" s="77"/>
      <c r="BX24" s="107"/>
      <c r="BY24" s="105"/>
      <c r="BZ24" s="105"/>
      <c r="CA24" s="105"/>
      <c r="CB24" s="105"/>
      <c r="CC24" s="105"/>
      <c r="CD24" s="106"/>
      <c r="CE24" s="77"/>
      <c r="CF24" s="107"/>
      <c r="CG24" s="105"/>
      <c r="CH24" s="105"/>
      <c r="CI24" s="105"/>
      <c r="CJ24" s="105"/>
      <c r="CK24" s="105"/>
      <c r="CL24" s="106"/>
      <c r="CM24" s="77"/>
      <c r="CN24" s="107"/>
      <c r="CO24" s="105"/>
      <c r="CP24" s="105"/>
      <c r="CQ24" s="105"/>
      <c r="CR24" s="105"/>
      <c r="CS24" s="105"/>
      <c r="CT24" s="106"/>
      <c r="CU24" s="77"/>
      <c r="CV24" s="107"/>
      <c r="CW24" s="105"/>
      <c r="CX24" s="105"/>
      <c r="CY24" s="105"/>
      <c r="CZ24" s="105"/>
      <c r="DA24" s="105"/>
      <c r="DB24" s="106"/>
      <c r="DC24" s="77"/>
      <c r="DD24" s="107"/>
      <c r="DE24" s="105"/>
      <c r="DF24" s="105"/>
      <c r="DG24" s="105"/>
      <c r="DH24" s="105"/>
      <c r="DI24" s="105"/>
      <c r="DJ24" s="106"/>
      <c r="DK24" s="77"/>
      <c r="DL24" s="107"/>
      <c r="DM24" s="105"/>
      <c r="DN24" s="105"/>
      <c r="DO24" s="105"/>
      <c r="DP24" s="105"/>
      <c r="DQ24" s="105"/>
      <c r="DR24" s="106"/>
      <c r="DS24" s="77"/>
      <c r="DT24" s="107"/>
      <c r="DU24" s="105"/>
      <c r="DV24" s="105"/>
      <c r="DW24" s="105"/>
      <c r="DX24" s="105"/>
      <c r="DY24" s="105"/>
      <c r="DZ24" s="106"/>
      <c r="EA24" s="77"/>
      <c r="EB24" s="107"/>
      <c r="EC24" s="105"/>
      <c r="ED24" s="105"/>
      <c r="EE24" s="105"/>
      <c r="EF24" s="106"/>
    </row>
    <row r="25" spans="1:136" s="100" customFormat="1" x14ac:dyDescent="0.25">
      <c r="A25" s="89" t="s">
        <v>10</v>
      </c>
      <c r="B25" s="103"/>
      <c r="C25" s="103"/>
      <c r="D25" s="108">
        <v>23249</v>
      </c>
      <c r="E25" s="442">
        <f>F25-D25</f>
        <v>22157.294000000002</v>
      </c>
      <c r="F25" s="442">
        <v>45406.294000000002</v>
      </c>
      <c r="G25" s="442">
        <f>H25-F25</f>
        <v>21787.705999999998</v>
      </c>
      <c r="H25" s="442">
        <v>67194</v>
      </c>
      <c r="I25" s="442">
        <f>J25-H25</f>
        <v>22309</v>
      </c>
      <c r="J25" s="104">
        <v>89503</v>
      </c>
      <c r="K25" s="103"/>
      <c r="L25" s="108">
        <v>21562</v>
      </c>
      <c r="M25" s="442">
        <v>22465</v>
      </c>
      <c r="N25" s="442">
        <v>44027</v>
      </c>
      <c r="O25" s="442">
        <v>23182</v>
      </c>
      <c r="P25" s="442">
        <v>67209</v>
      </c>
      <c r="Q25" s="442">
        <f>R25-P25</f>
        <v>23277</v>
      </c>
      <c r="R25" s="104">
        <v>90486</v>
      </c>
      <c r="S25" s="103"/>
      <c r="T25" s="108">
        <v>21697</v>
      </c>
      <c r="U25" s="442">
        <v>22956</v>
      </c>
      <c r="V25" s="442">
        <v>44653</v>
      </c>
      <c r="W25" s="442">
        <v>22769</v>
      </c>
      <c r="X25" s="442">
        <v>67422</v>
      </c>
      <c r="Y25" s="442">
        <v>20653</v>
      </c>
      <c r="Z25" s="104">
        <v>88075</v>
      </c>
      <c r="AA25" s="103"/>
      <c r="AB25" s="108">
        <v>23070</v>
      </c>
      <c r="AC25" s="103">
        <v>22438</v>
      </c>
      <c r="AD25" s="103">
        <v>45508</v>
      </c>
      <c r="AE25" s="103">
        <v>21895</v>
      </c>
      <c r="AF25" s="103">
        <v>67403</v>
      </c>
      <c r="AG25" s="103">
        <v>23388</v>
      </c>
      <c r="AH25" s="104">
        <v>90791</v>
      </c>
      <c r="AI25" s="103"/>
      <c r="AJ25" s="108">
        <v>22063</v>
      </c>
      <c r="AK25" s="103">
        <v>22966</v>
      </c>
      <c r="AL25" s="103">
        <v>45029</v>
      </c>
      <c r="AM25" s="103">
        <v>23424</v>
      </c>
      <c r="AN25" s="103">
        <v>68453</v>
      </c>
      <c r="AO25" s="103">
        <v>24059</v>
      </c>
      <c r="AP25" s="104">
        <v>92512</v>
      </c>
      <c r="AQ25" s="103"/>
      <c r="AR25" s="108">
        <v>21460</v>
      </c>
      <c r="AS25" s="103">
        <v>22508</v>
      </c>
      <c r="AT25" s="103">
        <v>43968</v>
      </c>
      <c r="AU25" s="103">
        <v>22435</v>
      </c>
      <c r="AV25" s="103">
        <v>66403</v>
      </c>
      <c r="AW25" s="103">
        <v>21379</v>
      </c>
      <c r="AX25" s="104">
        <v>87782</v>
      </c>
      <c r="AY25" s="103"/>
      <c r="AZ25" s="108">
        <v>21517</v>
      </c>
      <c r="BA25" s="103">
        <v>21749</v>
      </c>
      <c r="BB25" s="103">
        <v>43266</v>
      </c>
      <c r="BC25" s="103">
        <v>21679</v>
      </c>
      <c r="BD25" s="103">
        <v>64945</v>
      </c>
      <c r="BE25" s="103">
        <v>21097</v>
      </c>
      <c r="BF25" s="104">
        <v>86042</v>
      </c>
      <c r="BG25" s="103"/>
      <c r="BH25" s="108">
        <v>21418</v>
      </c>
      <c r="BI25" s="103">
        <v>23082</v>
      </c>
      <c r="BJ25" s="103">
        <v>44500</v>
      </c>
      <c r="BK25" s="103">
        <v>22234</v>
      </c>
      <c r="BL25" s="103">
        <v>66734</v>
      </c>
      <c r="BM25" s="103">
        <v>20799</v>
      </c>
      <c r="BN25" s="104">
        <v>87533</v>
      </c>
      <c r="BO25" s="89"/>
      <c r="BP25" s="108">
        <v>20862</v>
      </c>
      <c r="BQ25" s="103">
        <v>21286</v>
      </c>
      <c r="BR25" s="103">
        <v>42148</v>
      </c>
      <c r="BS25" s="103">
        <v>22026</v>
      </c>
      <c r="BT25" s="103">
        <v>64174</v>
      </c>
      <c r="BU25" s="103">
        <v>21744</v>
      </c>
      <c r="BV25" s="104">
        <v>85918</v>
      </c>
      <c r="BW25" s="109"/>
      <c r="BX25" s="108">
        <v>21765</v>
      </c>
      <c r="BY25" s="103">
        <v>22667</v>
      </c>
      <c r="BZ25" s="103">
        <v>44432</v>
      </c>
      <c r="CA25" s="103">
        <v>22022</v>
      </c>
      <c r="CB25" s="103">
        <v>66454</v>
      </c>
      <c r="CC25" s="103">
        <v>20951</v>
      </c>
      <c r="CD25" s="104">
        <v>87405</v>
      </c>
      <c r="CE25" s="109"/>
      <c r="CF25" s="108">
        <v>19446</v>
      </c>
      <c r="CG25" s="103">
        <v>21202</v>
      </c>
      <c r="CH25" s="103">
        <v>40648</v>
      </c>
      <c r="CI25" s="103">
        <v>22230</v>
      </c>
      <c r="CJ25" s="103">
        <v>62878</v>
      </c>
      <c r="CK25" s="103">
        <v>21193</v>
      </c>
      <c r="CL25" s="104">
        <v>84071</v>
      </c>
      <c r="CM25" s="109"/>
      <c r="CN25" s="108">
        <v>20293</v>
      </c>
      <c r="CO25" s="103">
        <v>20020</v>
      </c>
      <c r="CP25" s="103">
        <v>40313</v>
      </c>
      <c r="CQ25" s="103">
        <v>19591</v>
      </c>
      <c r="CR25" s="103">
        <v>59904</v>
      </c>
      <c r="CS25" s="103">
        <v>18603</v>
      </c>
      <c r="CT25" s="104">
        <v>78507</v>
      </c>
      <c r="CU25" s="109"/>
      <c r="CV25" s="108">
        <v>14484</v>
      </c>
      <c r="CW25" s="103">
        <v>19383</v>
      </c>
      <c r="CX25" s="103">
        <v>33867</v>
      </c>
      <c r="CY25" s="103">
        <v>20172</v>
      </c>
      <c r="CZ25" s="103">
        <v>54039</v>
      </c>
      <c r="DA25" s="103">
        <v>20442</v>
      </c>
      <c r="DB25" s="104">
        <v>74481</v>
      </c>
      <c r="DC25" s="109"/>
      <c r="DD25" s="108">
        <v>11988</v>
      </c>
      <c r="DE25" s="103">
        <v>10774</v>
      </c>
      <c r="DF25" s="103">
        <v>22762</v>
      </c>
      <c r="DG25" s="103">
        <v>11594</v>
      </c>
      <c r="DH25" s="103">
        <v>34356</v>
      </c>
      <c r="DI25" s="103">
        <v>12162</v>
      </c>
      <c r="DJ25" s="104">
        <v>46518</v>
      </c>
      <c r="DK25" s="109"/>
      <c r="DL25" s="108">
        <v>14285</v>
      </c>
      <c r="DM25" s="103">
        <v>14293</v>
      </c>
      <c r="DN25" s="103">
        <v>28578</v>
      </c>
      <c r="DO25" s="103">
        <v>14163</v>
      </c>
      <c r="DP25" s="103">
        <v>42741</v>
      </c>
      <c r="DQ25" s="103">
        <v>12708</v>
      </c>
      <c r="DR25" s="104">
        <v>55449</v>
      </c>
      <c r="DS25" s="109"/>
      <c r="DT25" s="108">
        <v>13079</v>
      </c>
      <c r="DU25" s="103">
        <v>13044</v>
      </c>
      <c r="DV25" s="103">
        <v>26123</v>
      </c>
      <c r="DW25" s="103">
        <v>12966</v>
      </c>
      <c r="DX25" s="103">
        <v>39089</v>
      </c>
      <c r="DY25" s="103">
        <v>13203</v>
      </c>
      <c r="DZ25" s="104">
        <v>52292</v>
      </c>
      <c r="EA25" s="109"/>
      <c r="EB25" s="108">
        <v>6443</v>
      </c>
      <c r="EC25" s="103">
        <v>12513</v>
      </c>
      <c r="ED25" s="103">
        <v>18956</v>
      </c>
      <c r="EE25" s="103">
        <v>11625</v>
      </c>
      <c r="EF25" s="104">
        <v>30581</v>
      </c>
    </row>
    <row r="26" spans="1:136" s="282" customFormat="1" x14ac:dyDescent="0.25">
      <c r="A26" s="89" t="s">
        <v>11</v>
      </c>
      <c r="B26" s="196"/>
      <c r="C26" s="196"/>
      <c r="D26" s="280">
        <v>12319</v>
      </c>
      <c r="E26" s="459">
        <f t="shared" ref="E26:E55" si="0">F26-D26</f>
        <v>12062.432199999999</v>
      </c>
      <c r="F26" s="459">
        <v>24381.432199999999</v>
      </c>
      <c r="G26" s="459">
        <f t="shared" ref="G26:G66" si="1">H26-F26</f>
        <v>12030.567800000001</v>
      </c>
      <c r="H26" s="459">
        <v>36412</v>
      </c>
      <c r="I26" s="459">
        <f t="shared" ref="I26:I55" si="2">J26-H26</f>
        <v>12027</v>
      </c>
      <c r="J26" s="281">
        <v>48439</v>
      </c>
      <c r="K26" s="196"/>
      <c r="L26" s="280">
        <v>12157</v>
      </c>
      <c r="M26" s="459">
        <v>12152</v>
      </c>
      <c r="N26" s="459">
        <v>24309</v>
      </c>
      <c r="O26" s="459">
        <v>12488</v>
      </c>
      <c r="P26" s="459">
        <v>36797</v>
      </c>
      <c r="Q26" s="459">
        <f t="shared" ref="Q26:Q54" si="3">R26-P26</f>
        <v>12641</v>
      </c>
      <c r="R26" s="281">
        <v>49438</v>
      </c>
      <c r="S26" s="196"/>
      <c r="T26" s="280">
        <v>11960</v>
      </c>
      <c r="U26" s="459">
        <v>12585</v>
      </c>
      <c r="V26" s="459">
        <v>24545</v>
      </c>
      <c r="W26" s="459">
        <v>12517</v>
      </c>
      <c r="X26" s="459">
        <v>37062</v>
      </c>
      <c r="Y26" s="459">
        <v>12175</v>
      </c>
      <c r="Z26" s="281">
        <v>49237</v>
      </c>
      <c r="AA26" s="196"/>
      <c r="AB26" s="280">
        <v>12465</v>
      </c>
      <c r="AC26" s="196">
        <v>11978</v>
      </c>
      <c r="AD26" s="196">
        <v>24443</v>
      </c>
      <c r="AE26" s="196">
        <v>11937</v>
      </c>
      <c r="AF26" s="196">
        <v>36380</v>
      </c>
      <c r="AG26" s="196">
        <v>12906</v>
      </c>
      <c r="AH26" s="281">
        <v>49286</v>
      </c>
      <c r="AI26" s="196"/>
      <c r="AJ26" s="280">
        <v>12038</v>
      </c>
      <c r="AK26" s="196">
        <v>12477</v>
      </c>
      <c r="AL26" s="196">
        <v>24515</v>
      </c>
      <c r="AM26" s="196">
        <v>12356</v>
      </c>
      <c r="AN26" s="196">
        <v>36871</v>
      </c>
      <c r="AO26" s="196">
        <v>12473</v>
      </c>
      <c r="AP26" s="281">
        <v>49344</v>
      </c>
      <c r="AQ26" s="196"/>
      <c r="AR26" s="280">
        <v>11838</v>
      </c>
      <c r="AS26" s="196">
        <v>12120</v>
      </c>
      <c r="AT26" s="196">
        <v>23958</v>
      </c>
      <c r="AU26" s="196">
        <v>12137</v>
      </c>
      <c r="AV26" s="196">
        <v>36095</v>
      </c>
      <c r="AW26" s="196">
        <v>11804</v>
      </c>
      <c r="AX26" s="281">
        <v>47899</v>
      </c>
      <c r="AY26" s="196"/>
      <c r="AZ26" s="280">
        <v>11826</v>
      </c>
      <c r="BA26" s="196">
        <v>12133</v>
      </c>
      <c r="BB26" s="196">
        <v>23959</v>
      </c>
      <c r="BC26" s="196">
        <v>12064</v>
      </c>
      <c r="BD26" s="196">
        <v>36023</v>
      </c>
      <c r="BE26" s="196">
        <v>11976</v>
      </c>
      <c r="BF26" s="281">
        <v>47999</v>
      </c>
      <c r="BG26" s="196"/>
      <c r="BH26" s="280">
        <v>11868</v>
      </c>
      <c r="BI26" s="196">
        <v>12513</v>
      </c>
      <c r="BJ26" s="196">
        <v>24381</v>
      </c>
      <c r="BK26" s="196">
        <v>12228</v>
      </c>
      <c r="BL26" s="196">
        <v>36609</v>
      </c>
      <c r="BM26" s="196">
        <v>11593</v>
      </c>
      <c r="BN26" s="281">
        <v>48202</v>
      </c>
      <c r="BO26" s="222"/>
      <c r="BP26" s="280">
        <v>11181</v>
      </c>
      <c r="BQ26" s="196">
        <v>11665</v>
      </c>
      <c r="BR26" s="196">
        <v>22846</v>
      </c>
      <c r="BS26" s="196">
        <v>11949</v>
      </c>
      <c r="BT26" s="196">
        <v>34795</v>
      </c>
      <c r="BU26" s="196">
        <v>12006</v>
      </c>
      <c r="BV26" s="281">
        <v>46801</v>
      </c>
      <c r="BW26" s="159"/>
      <c r="BX26" s="280">
        <v>11596</v>
      </c>
      <c r="BY26" s="196">
        <v>11975</v>
      </c>
      <c r="BZ26" s="196">
        <v>23571</v>
      </c>
      <c r="CA26" s="196">
        <v>11840</v>
      </c>
      <c r="CB26" s="196">
        <v>35411</v>
      </c>
      <c r="CC26" s="196">
        <v>11543</v>
      </c>
      <c r="CD26" s="281">
        <v>46954</v>
      </c>
      <c r="CE26" s="159"/>
      <c r="CF26" s="280">
        <v>9212</v>
      </c>
      <c r="CG26" s="196">
        <v>10519</v>
      </c>
      <c r="CH26" s="196">
        <v>19731</v>
      </c>
      <c r="CI26" s="196">
        <v>11541</v>
      </c>
      <c r="CJ26" s="196">
        <v>31272</v>
      </c>
      <c r="CK26" s="196">
        <v>11303</v>
      </c>
      <c r="CL26" s="281">
        <v>42575</v>
      </c>
      <c r="CM26" s="159"/>
      <c r="CN26" s="280">
        <v>8929</v>
      </c>
      <c r="CO26" s="196">
        <v>8912</v>
      </c>
      <c r="CP26" s="196">
        <v>17841</v>
      </c>
      <c r="CQ26" s="196">
        <v>8937</v>
      </c>
      <c r="CR26" s="196">
        <v>26778</v>
      </c>
      <c r="CS26" s="196">
        <v>8786</v>
      </c>
      <c r="CT26" s="281">
        <v>35564</v>
      </c>
      <c r="CU26" s="159"/>
      <c r="CV26" s="280">
        <v>6217</v>
      </c>
      <c r="CW26" s="196">
        <v>8818</v>
      </c>
      <c r="CX26" s="196">
        <v>15035</v>
      </c>
      <c r="CY26" s="196">
        <v>9210</v>
      </c>
      <c r="CZ26" s="196">
        <v>24245</v>
      </c>
      <c r="DA26" s="196">
        <v>9151</v>
      </c>
      <c r="DB26" s="281">
        <v>33396</v>
      </c>
      <c r="DC26" s="159"/>
      <c r="DD26" s="280">
        <v>5051</v>
      </c>
      <c r="DE26" s="196">
        <v>4604</v>
      </c>
      <c r="DF26" s="196">
        <v>9655</v>
      </c>
      <c r="DG26" s="196">
        <v>5007</v>
      </c>
      <c r="DH26" s="196">
        <v>14662</v>
      </c>
      <c r="DI26" s="196">
        <v>5296</v>
      </c>
      <c r="DJ26" s="281">
        <v>19958</v>
      </c>
      <c r="DK26" s="159"/>
      <c r="DL26" s="280">
        <v>6065</v>
      </c>
      <c r="DM26" s="196">
        <v>6103</v>
      </c>
      <c r="DN26" s="196">
        <v>12168</v>
      </c>
      <c r="DO26" s="196">
        <v>5994</v>
      </c>
      <c r="DP26" s="196">
        <v>18162</v>
      </c>
      <c r="DQ26" s="196">
        <v>5619</v>
      </c>
      <c r="DR26" s="281">
        <v>23781</v>
      </c>
      <c r="DS26" s="159"/>
      <c r="DT26" s="280">
        <v>5683</v>
      </c>
      <c r="DU26" s="196">
        <v>5724</v>
      </c>
      <c r="DV26" s="196">
        <v>11407</v>
      </c>
      <c r="DW26" s="196">
        <v>5608</v>
      </c>
      <c r="DX26" s="196">
        <v>17015</v>
      </c>
      <c r="DY26" s="196">
        <v>6124</v>
      </c>
      <c r="DZ26" s="281">
        <v>23139</v>
      </c>
      <c r="EA26" s="159"/>
      <c r="EB26" s="280">
        <v>2681</v>
      </c>
      <c r="EC26" s="196">
        <v>5137</v>
      </c>
      <c r="ED26" s="196">
        <v>7818</v>
      </c>
      <c r="EE26" s="196">
        <v>5050</v>
      </c>
      <c r="EF26" s="281">
        <v>12868</v>
      </c>
    </row>
    <row r="27" spans="1:136" s="100" customFormat="1" x14ac:dyDescent="0.25">
      <c r="A27" s="89" t="s">
        <v>12</v>
      </c>
      <c r="B27" s="103"/>
      <c r="C27" s="103"/>
      <c r="D27" s="108">
        <f>D25-D26</f>
        <v>10930</v>
      </c>
      <c r="E27" s="442">
        <f t="shared" si="0"/>
        <v>10094.861800000002</v>
      </c>
      <c r="F27" s="442">
        <v>21024.861800000002</v>
      </c>
      <c r="G27" s="442">
        <f t="shared" si="1"/>
        <v>9757.1381999999976</v>
      </c>
      <c r="H27" s="442">
        <v>30782</v>
      </c>
      <c r="I27" s="442">
        <f t="shared" si="2"/>
        <v>10282</v>
      </c>
      <c r="J27" s="104">
        <v>41064</v>
      </c>
      <c r="K27" s="103"/>
      <c r="L27" s="108">
        <v>9405</v>
      </c>
      <c r="M27" s="442">
        <v>10313</v>
      </c>
      <c r="N27" s="442">
        <v>19718</v>
      </c>
      <c r="O27" s="442">
        <v>10694</v>
      </c>
      <c r="P27" s="442">
        <v>30412</v>
      </c>
      <c r="Q27" s="442">
        <f t="shared" si="3"/>
        <v>10636</v>
      </c>
      <c r="R27" s="104">
        <f>R25-R26</f>
        <v>41048</v>
      </c>
      <c r="S27" s="103"/>
      <c r="T27" s="108">
        <v>9737</v>
      </c>
      <c r="U27" s="442">
        <v>10371</v>
      </c>
      <c r="V27" s="442">
        <v>20108</v>
      </c>
      <c r="W27" s="442">
        <v>10252</v>
      </c>
      <c r="X27" s="442">
        <v>30360</v>
      </c>
      <c r="Y27" s="442">
        <v>8478</v>
      </c>
      <c r="Z27" s="104">
        <v>38838</v>
      </c>
      <c r="AA27" s="103"/>
      <c r="AB27" s="108">
        <v>10605</v>
      </c>
      <c r="AC27" s="103">
        <v>10460</v>
      </c>
      <c r="AD27" s="103">
        <v>21065</v>
      </c>
      <c r="AE27" s="103">
        <v>9958</v>
      </c>
      <c r="AF27" s="103">
        <v>31023</v>
      </c>
      <c r="AG27" s="103">
        <v>10482</v>
      </c>
      <c r="AH27" s="104">
        <v>41505</v>
      </c>
      <c r="AI27" s="103"/>
      <c r="AJ27" s="108">
        <v>10025</v>
      </c>
      <c r="AK27" s="103">
        <v>10489</v>
      </c>
      <c r="AL27" s="103">
        <v>20514</v>
      </c>
      <c r="AM27" s="103">
        <v>11068</v>
      </c>
      <c r="AN27" s="103">
        <v>31582</v>
      </c>
      <c r="AO27" s="103">
        <v>11586</v>
      </c>
      <c r="AP27" s="104">
        <v>43168</v>
      </c>
      <c r="AQ27" s="103"/>
      <c r="AR27" s="108">
        <v>9622</v>
      </c>
      <c r="AS27" s="103">
        <v>10388</v>
      </c>
      <c r="AT27" s="103">
        <v>20010</v>
      </c>
      <c r="AU27" s="103">
        <v>10298</v>
      </c>
      <c r="AV27" s="103">
        <v>30308</v>
      </c>
      <c r="AW27" s="103">
        <v>9575</v>
      </c>
      <c r="AX27" s="104">
        <v>39883</v>
      </c>
      <c r="AY27" s="103"/>
      <c r="AZ27" s="108">
        <v>9691</v>
      </c>
      <c r="BA27" s="103">
        <v>9616</v>
      </c>
      <c r="BB27" s="103">
        <v>19307</v>
      </c>
      <c r="BC27" s="103">
        <v>9615</v>
      </c>
      <c r="BD27" s="103">
        <v>28922</v>
      </c>
      <c r="BE27" s="103">
        <v>9121</v>
      </c>
      <c r="BF27" s="104">
        <v>38043</v>
      </c>
      <c r="BG27" s="103"/>
      <c r="BH27" s="108">
        <v>9550</v>
      </c>
      <c r="BI27" s="103">
        <v>10569</v>
      </c>
      <c r="BJ27" s="103">
        <v>20119</v>
      </c>
      <c r="BK27" s="103">
        <v>10006</v>
      </c>
      <c r="BL27" s="103">
        <v>30125</v>
      </c>
      <c r="BM27" s="103">
        <v>9206</v>
      </c>
      <c r="BN27" s="104">
        <v>39331</v>
      </c>
      <c r="BO27" s="89"/>
      <c r="BP27" s="108">
        <v>9681</v>
      </c>
      <c r="BQ27" s="103">
        <v>9621</v>
      </c>
      <c r="BR27" s="103">
        <v>19302</v>
      </c>
      <c r="BS27" s="103">
        <v>10077</v>
      </c>
      <c r="BT27" s="103">
        <v>29379</v>
      </c>
      <c r="BU27" s="103">
        <v>9738</v>
      </c>
      <c r="BV27" s="104">
        <v>39117</v>
      </c>
      <c r="BW27" s="109"/>
      <c r="BX27" s="108">
        <v>10169</v>
      </c>
      <c r="BY27" s="103">
        <v>10692</v>
      </c>
      <c r="BZ27" s="103">
        <v>20861</v>
      </c>
      <c r="CA27" s="103">
        <v>10182</v>
      </c>
      <c r="CB27" s="103">
        <v>31043</v>
      </c>
      <c r="CC27" s="103">
        <v>9408</v>
      </c>
      <c r="CD27" s="104">
        <v>40451</v>
      </c>
      <c r="CE27" s="109"/>
      <c r="CF27" s="108">
        <v>10234</v>
      </c>
      <c r="CG27" s="103">
        <v>10683</v>
      </c>
      <c r="CH27" s="103">
        <v>20917</v>
      </c>
      <c r="CI27" s="103">
        <v>10689</v>
      </c>
      <c r="CJ27" s="103">
        <v>31606</v>
      </c>
      <c r="CK27" s="103">
        <v>9890</v>
      </c>
      <c r="CL27" s="104">
        <v>41496</v>
      </c>
      <c r="CM27" s="109"/>
      <c r="CN27" s="108">
        <v>11364</v>
      </c>
      <c r="CO27" s="103">
        <v>11108</v>
      </c>
      <c r="CP27" s="103">
        <v>22472</v>
      </c>
      <c r="CQ27" s="103">
        <v>10654</v>
      </c>
      <c r="CR27" s="103">
        <v>33126</v>
      </c>
      <c r="CS27" s="103">
        <v>9817</v>
      </c>
      <c r="CT27" s="104">
        <v>42943</v>
      </c>
      <c r="CU27" s="109"/>
      <c r="CV27" s="108">
        <v>8267</v>
      </c>
      <c r="CW27" s="103">
        <v>10565</v>
      </c>
      <c r="CX27" s="103">
        <v>18832</v>
      </c>
      <c r="CY27" s="103">
        <v>10962</v>
      </c>
      <c r="CZ27" s="103">
        <v>29794</v>
      </c>
      <c r="DA27" s="103">
        <v>11291</v>
      </c>
      <c r="DB27" s="104">
        <v>41085</v>
      </c>
      <c r="DC27" s="109"/>
      <c r="DD27" s="108">
        <v>6937</v>
      </c>
      <c r="DE27" s="103">
        <v>6170</v>
      </c>
      <c r="DF27" s="103">
        <v>13107</v>
      </c>
      <c r="DG27" s="103">
        <v>6587</v>
      </c>
      <c r="DH27" s="103">
        <v>19694</v>
      </c>
      <c r="DI27" s="103">
        <v>6866</v>
      </c>
      <c r="DJ27" s="104">
        <v>26560</v>
      </c>
      <c r="DK27" s="109"/>
      <c r="DL27" s="108">
        <v>8220</v>
      </c>
      <c r="DM27" s="103">
        <v>8190</v>
      </c>
      <c r="DN27" s="103">
        <v>16410</v>
      </c>
      <c r="DO27" s="103">
        <v>8169</v>
      </c>
      <c r="DP27" s="103">
        <v>24579</v>
      </c>
      <c r="DQ27" s="103">
        <v>7089</v>
      </c>
      <c r="DR27" s="104">
        <v>31668</v>
      </c>
      <c r="DS27" s="109"/>
      <c r="DT27" s="108">
        <v>7396</v>
      </c>
      <c r="DU27" s="103">
        <v>7320</v>
      </c>
      <c r="DV27" s="103">
        <v>14716</v>
      </c>
      <c r="DW27" s="103">
        <v>7358</v>
      </c>
      <c r="DX27" s="103">
        <v>22074</v>
      </c>
      <c r="DY27" s="103">
        <v>7079</v>
      </c>
      <c r="DZ27" s="104">
        <v>29153</v>
      </c>
      <c r="EA27" s="109"/>
      <c r="EB27" s="108">
        <v>3762</v>
      </c>
      <c r="EC27" s="103">
        <v>7376</v>
      </c>
      <c r="ED27" s="103">
        <v>11138</v>
      </c>
      <c r="EE27" s="103">
        <v>6575</v>
      </c>
      <c r="EF27" s="104">
        <v>17713</v>
      </c>
    </row>
    <row r="28" spans="1:136" ht="15" customHeight="1" outlineLevel="1" x14ac:dyDescent="0.25">
      <c r="A28" s="77" t="s">
        <v>13</v>
      </c>
      <c r="B28" s="105"/>
      <c r="C28" s="105"/>
      <c r="D28" s="107">
        <v>4271</v>
      </c>
      <c r="E28" s="441">
        <f t="shared" si="0"/>
        <v>4160.2929999999997</v>
      </c>
      <c r="F28" s="441">
        <v>8431.2929999999997</v>
      </c>
      <c r="G28" s="441">
        <f t="shared" si="1"/>
        <v>3806.7070000000003</v>
      </c>
      <c r="H28" s="441">
        <v>12238</v>
      </c>
      <c r="I28" s="441">
        <f t="shared" si="2"/>
        <v>3843</v>
      </c>
      <c r="J28" s="106">
        <v>16081</v>
      </c>
      <c r="K28" s="105"/>
      <c r="L28" s="107">
        <v>3774</v>
      </c>
      <c r="M28" s="441">
        <v>3855</v>
      </c>
      <c r="N28" s="441">
        <v>7629</v>
      </c>
      <c r="O28" s="441">
        <v>3768</v>
      </c>
      <c r="P28" s="441">
        <v>11397</v>
      </c>
      <c r="Q28" s="441">
        <f t="shared" si="3"/>
        <v>3880</v>
      </c>
      <c r="R28" s="106">
        <v>15277</v>
      </c>
      <c r="S28" s="105"/>
      <c r="T28" s="107">
        <v>3790</v>
      </c>
      <c r="U28" s="441">
        <v>3848</v>
      </c>
      <c r="V28" s="441">
        <v>7638</v>
      </c>
      <c r="W28" s="441">
        <v>3853</v>
      </c>
      <c r="X28" s="441">
        <v>11491</v>
      </c>
      <c r="Y28" s="441">
        <v>3703</v>
      </c>
      <c r="Z28" s="106">
        <v>15194</v>
      </c>
      <c r="AA28" s="105"/>
      <c r="AB28" s="107">
        <v>3768</v>
      </c>
      <c r="AC28" s="105">
        <v>3760</v>
      </c>
      <c r="AD28" s="105">
        <v>7528</v>
      </c>
      <c r="AE28" s="105">
        <v>3621</v>
      </c>
      <c r="AF28" s="105">
        <v>11149</v>
      </c>
      <c r="AG28" s="105">
        <v>3673</v>
      </c>
      <c r="AH28" s="106">
        <v>14822</v>
      </c>
      <c r="AI28" s="105"/>
      <c r="AJ28" s="107">
        <v>3657</v>
      </c>
      <c r="AK28" s="105">
        <v>3687</v>
      </c>
      <c r="AL28" s="105">
        <v>7344</v>
      </c>
      <c r="AM28" s="105">
        <v>3741</v>
      </c>
      <c r="AN28" s="105">
        <v>11085</v>
      </c>
      <c r="AO28" s="105">
        <v>4026</v>
      </c>
      <c r="AP28" s="106">
        <v>15111</v>
      </c>
      <c r="AQ28" s="105"/>
      <c r="AR28" s="107">
        <v>3545</v>
      </c>
      <c r="AS28" s="105">
        <v>3677</v>
      </c>
      <c r="AT28" s="105">
        <v>7222</v>
      </c>
      <c r="AU28" s="105">
        <v>3671</v>
      </c>
      <c r="AV28" s="105">
        <v>10893</v>
      </c>
      <c r="AW28" s="105">
        <v>3671</v>
      </c>
      <c r="AX28" s="106">
        <v>14564</v>
      </c>
      <c r="AY28" s="105"/>
      <c r="AZ28" s="107">
        <v>3422</v>
      </c>
      <c r="BA28" s="105">
        <v>3530</v>
      </c>
      <c r="BB28" s="105">
        <v>6952</v>
      </c>
      <c r="BC28" s="105">
        <v>3419</v>
      </c>
      <c r="BD28" s="105">
        <v>10371</v>
      </c>
      <c r="BE28" s="105">
        <v>3207</v>
      </c>
      <c r="BF28" s="106">
        <v>13578</v>
      </c>
      <c r="BG28" s="105"/>
      <c r="BH28" s="107">
        <v>3444</v>
      </c>
      <c r="BI28" s="105">
        <v>3428</v>
      </c>
      <c r="BJ28" s="105">
        <v>6872</v>
      </c>
      <c r="BK28" s="105">
        <v>3335</v>
      </c>
      <c r="BL28" s="105">
        <v>10207</v>
      </c>
      <c r="BM28" s="105">
        <v>3428</v>
      </c>
      <c r="BN28" s="106">
        <v>13635</v>
      </c>
      <c r="BO28" s="77"/>
      <c r="BP28" s="107">
        <v>3387</v>
      </c>
      <c r="BQ28" s="105">
        <v>3551</v>
      </c>
      <c r="BR28" s="105">
        <v>6938</v>
      </c>
      <c r="BS28" s="105">
        <v>3359</v>
      </c>
      <c r="BT28" s="105">
        <v>10297</v>
      </c>
      <c r="BU28" s="105">
        <v>3301</v>
      </c>
      <c r="BV28" s="106">
        <v>13598</v>
      </c>
      <c r="BW28" s="110"/>
      <c r="BX28" s="107">
        <v>3370</v>
      </c>
      <c r="BY28" s="105">
        <v>3478</v>
      </c>
      <c r="BZ28" s="105">
        <v>6848</v>
      </c>
      <c r="CA28" s="105">
        <v>3617</v>
      </c>
      <c r="CB28" s="105">
        <v>10465</v>
      </c>
      <c r="CC28" s="105">
        <v>3377</v>
      </c>
      <c r="CD28" s="106">
        <v>13842</v>
      </c>
      <c r="CE28" s="110"/>
      <c r="CF28" s="107">
        <v>3196</v>
      </c>
      <c r="CG28" s="105">
        <v>3877</v>
      </c>
      <c r="CH28" s="105">
        <v>7073</v>
      </c>
      <c r="CI28" s="105">
        <v>3522</v>
      </c>
      <c r="CJ28" s="105">
        <v>10595</v>
      </c>
      <c r="CK28" s="105">
        <v>3380</v>
      </c>
      <c r="CL28" s="106">
        <v>13975</v>
      </c>
      <c r="CM28" s="110"/>
      <c r="CN28" s="107">
        <v>3400</v>
      </c>
      <c r="CO28" s="105">
        <v>3421</v>
      </c>
      <c r="CP28" s="105">
        <v>6821</v>
      </c>
      <c r="CQ28" s="105">
        <v>3163</v>
      </c>
      <c r="CR28" s="105">
        <v>9984</v>
      </c>
      <c r="CS28" s="105">
        <v>2872</v>
      </c>
      <c r="CT28" s="106">
        <v>12856</v>
      </c>
      <c r="CU28" s="110"/>
      <c r="CV28" s="107">
        <v>6604</v>
      </c>
      <c r="CW28" s="105">
        <v>3426</v>
      </c>
      <c r="CX28" s="105">
        <v>10030</v>
      </c>
      <c r="CY28" s="105">
        <v>3582</v>
      </c>
      <c r="CZ28" s="105">
        <v>13612</v>
      </c>
      <c r="DA28" s="105">
        <v>3721</v>
      </c>
      <c r="DB28" s="106">
        <v>17333</v>
      </c>
      <c r="DC28" s="110"/>
      <c r="DD28" s="107">
        <v>2523</v>
      </c>
      <c r="DE28" s="105">
        <v>976</v>
      </c>
      <c r="DF28" s="105">
        <v>3499</v>
      </c>
      <c r="DG28" s="105">
        <v>2211</v>
      </c>
      <c r="DH28" s="105">
        <v>5710</v>
      </c>
      <c r="DI28" s="105">
        <v>1657</v>
      </c>
      <c r="DJ28" s="106">
        <v>7367</v>
      </c>
      <c r="DK28" s="110"/>
      <c r="DL28" s="107">
        <v>2657</v>
      </c>
      <c r="DM28" s="105">
        <v>2965</v>
      </c>
      <c r="DN28" s="105">
        <v>5622</v>
      </c>
      <c r="DO28" s="105">
        <v>2749</v>
      </c>
      <c r="DP28" s="105">
        <v>8371</v>
      </c>
      <c r="DQ28" s="105">
        <v>2502</v>
      </c>
      <c r="DR28" s="106">
        <v>10873</v>
      </c>
      <c r="DS28" s="110"/>
      <c r="DT28" s="107">
        <v>1479</v>
      </c>
      <c r="DU28" s="105">
        <v>2459</v>
      </c>
      <c r="DV28" s="105">
        <v>3938</v>
      </c>
      <c r="DW28" s="105">
        <v>2379</v>
      </c>
      <c r="DX28" s="105">
        <v>6317</v>
      </c>
      <c r="DY28" s="105">
        <v>2597</v>
      </c>
      <c r="DZ28" s="106">
        <v>8914</v>
      </c>
      <c r="EA28" s="110"/>
      <c r="EB28" s="107">
        <v>1508</v>
      </c>
      <c r="EC28" s="105">
        <v>2832</v>
      </c>
      <c r="ED28" s="105">
        <v>4340</v>
      </c>
      <c r="EE28" s="105">
        <v>3908</v>
      </c>
      <c r="EF28" s="106">
        <v>8248</v>
      </c>
    </row>
    <row r="29" spans="1:136" ht="15" customHeight="1" outlineLevel="1" x14ac:dyDescent="0.25">
      <c r="A29" s="77" t="s">
        <v>14</v>
      </c>
      <c r="B29" s="105"/>
      <c r="C29" s="105"/>
      <c r="D29" s="107">
        <v>125</v>
      </c>
      <c r="E29" s="441">
        <f t="shared" si="0"/>
        <v>125</v>
      </c>
      <c r="F29" s="441">
        <v>250</v>
      </c>
      <c r="G29" s="441">
        <f t="shared" si="1"/>
        <v>125</v>
      </c>
      <c r="H29" s="441">
        <v>375</v>
      </c>
      <c r="I29" s="441">
        <f t="shared" si="2"/>
        <v>125</v>
      </c>
      <c r="J29" s="106">
        <v>500</v>
      </c>
      <c r="K29" s="105"/>
      <c r="L29" s="107">
        <v>125</v>
      </c>
      <c r="M29" s="441">
        <v>125</v>
      </c>
      <c r="N29" s="441">
        <v>250</v>
      </c>
      <c r="O29" s="441">
        <v>125</v>
      </c>
      <c r="P29" s="441">
        <v>375</v>
      </c>
      <c r="Q29" s="441">
        <f t="shared" si="3"/>
        <v>125</v>
      </c>
      <c r="R29" s="106">
        <v>500</v>
      </c>
      <c r="S29" s="105"/>
      <c r="T29" s="107">
        <v>125</v>
      </c>
      <c r="U29" s="441">
        <v>125</v>
      </c>
      <c r="V29" s="441">
        <v>250</v>
      </c>
      <c r="W29" s="441">
        <v>125</v>
      </c>
      <c r="X29" s="441">
        <v>375</v>
      </c>
      <c r="Y29" s="441">
        <v>125</v>
      </c>
      <c r="Z29" s="106">
        <v>500</v>
      </c>
      <c r="AA29" s="105"/>
      <c r="AB29" s="107">
        <v>125</v>
      </c>
      <c r="AC29" s="105">
        <v>125</v>
      </c>
      <c r="AD29" s="105">
        <v>250</v>
      </c>
      <c r="AE29" s="105">
        <v>125</v>
      </c>
      <c r="AF29" s="105">
        <v>375</v>
      </c>
      <c r="AG29" s="105">
        <v>125</v>
      </c>
      <c r="AH29" s="106">
        <v>500</v>
      </c>
      <c r="AI29" s="105"/>
      <c r="AJ29" s="107">
        <v>125</v>
      </c>
      <c r="AK29" s="105">
        <v>125</v>
      </c>
      <c r="AL29" s="105">
        <v>250</v>
      </c>
      <c r="AM29" s="105">
        <v>125</v>
      </c>
      <c r="AN29" s="105">
        <v>375</v>
      </c>
      <c r="AO29" s="105">
        <v>125</v>
      </c>
      <c r="AP29" s="106">
        <v>500</v>
      </c>
      <c r="AQ29" s="105"/>
      <c r="AR29" s="107">
        <v>125</v>
      </c>
      <c r="AS29" s="105">
        <v>125</v>
      </c>
      <c r="AT29" s="105">
        <v>250</v>
      </c>
      <c r="AU29" s="105">
        <v>125</v>
      </c>
      <c r="AV29" s="105">
        <v>375</v>
      </c>
      <c r="AW29" s="105">
        <v>125</v>
      </c>
      <c r="AX29" s="106">
        <v>500</v>
      </c>
      <c r="AY29" s="105"/>
      <c r="AZ29" s="107">
        <v>125</v>
      </c>
      <c r="BA29" s="105">
        <v>125</v>
      </c>
      <c r="BB29" s="105">
        <v>250</v>
      </c>
      <c r="BC29" s="105">
        <v>125</v>
      </c>
      <c r="BD29" s="105">
        <v>375</v>
      </c>
      <c r="BE29" s="105">
        <v>125</v>
      </c>
      <c r="BF29" s="106">
        <v>500</v>
      </c>
      <c r="BG29" s="105"/>
      <c r="BH29" s="107">
        <v>125</v>
      </c>
      <c r="BI29" s="105">
        <v>125</v>
      </c>
      <c r="BJ29" s="105">
        <v>250</v>
      </c>
      <c r="BK29" s="105">
        <v>125</v>
      </c>
      <c r="BL29" s="105">
        <v>375</v>
      </c>
      <c r="BM29" s="105">
        <v>125</v>
      </c>
      <c r="BN29" s="106">
        <v>500</v>
      </c>
      <c r="BO29" s="77"/>
      <c r="BP29" s="107">
        <v>125</v>
      </c>
      <c r="BQ29" s="105">
        <v>125</v>
      </c>
      <c r="BR29" s="105">
        <v>250</v>
      </c>
      <c r="BS29" s="105">
        <v>125</v>
      </c>
      <c r="BT29" s="105">
        <v>375</v>
      </c>
      <c r="BU29" s="105">
        <v>125</v>
      </c>
      <c r="BV29" s="106">
        <v>500</v>
      </c>
      <c r="BW29" s="110"/>
      <c r="BX29" s="107">
        <v>125</v>
      </c>
      <c r="BY29" s="105">
        <v>125</v>
      </c>
      <c r="BZ29" s="105">
        <v>250</v>
      </c>
      <c r="CA29" s="105">
        <v>125</v>
      </c>
      <c r="CB29" s="105">
        <v>375</v>
      </c>
      <c r="CC29" s="105">
        <v>125</v>
      </c>
      <c r="CD29" s="106">
        <v>500</v>
      </c>
      <c r="CE29" s="110"/>
      <c r="CF29" s="107">
        <v>125</v>
      </c>
      <c r="CG29" s="105">
        <v>125</v>
      </c>
      <c r="CH29" s="105">
        <v>250</v>
      </c>
      <c r="CI29" s="105">
        <v>125</v>
      </c>
      <c r="CJ29" s="105">
        <v>375</v>
      </c>
      <c r="CK29" s="105">
        <v>125</v>
      </c>
      <c r="CL29" s="106">
        <v>500</v>
      </c>
      <c r="CM29" s="110"/>
      <c r="CN29" s="107">
        <v>125</v>
      </c>
      <c r="CO29" s="105">
        <v>125</v>
      </c>
      <c r="CP29" s="105">
        <v>250</v>
      </c>
      <c r="CQ29" s="105">
        <v>125</v>
      </c>
      <c r="CR29" s="105">
        <v>375</v>
      </c>
      <c r="CS29" s="105">
        <v>125</v>
      </c>
      <c r="CT29" s="106">
        <v>500</v>
      </c>
      <c r="CU29" s="110"/>
      <c r="CV29" s="107">
        <v>125</v>
      </c>
      <c r="CW29" s="105">
        <v>125</v>
      </c>
      <c r="CX29" s="105">
        <v>250</v>
      </c>
      <c r="CY29" s="105">
        <v>125</v>
      </c>
      <c r="CZ29" s="105">
        <v>375</v>
      </c>
      <c r="DA29" s="105">
        <v>125</v>
      </c>
      <c r="DB29" s="106">
        <v>500</v>
      </c>
      <c r="DC29" s="110"/>
      <c r="DD29" s="107">
        <v>125</v>
      </c>
      <c r="DE29" s="105">
        <v>125</v>
      </c>
      <c r="DF29" s="105">
        <v>250</v>
      </c>
      <c r="DG29" s="105">
        <v>125</v>
      </c>
      <c r="DH29" s="105">
        <v>375</v>
      </c>
      <c r="DI29" s="105">
        <v>0</v>
      </c>
      <c r="DJ29" s="106">
        <v>375</v>
      </c>
      <c r="DK29" s="110"/>
      <c r="DL29" s="107">
        <v>125</v>
      </c>
      <c r="DM29" s="105">
        <v>125</v>
      </c>
      <c r="DN29" s="105">
        <v>250</v>
      </c>
      <c r="DO29" s="105">
        <v>125</v>
      </c>
      <c r="DP29" s="105">
        <v>375</v>
      </c>
      <c r="DQ29" s="105">
        <v>125</v>
      </c>
      <c r="DR29" s="106">
        <v>500</v>
      </c>
      <c r="DS29" s="110"/>
      <c r="DT29" s="107">
        <v>126</v>
      </c>
      <c r="DU29" s="105">
        <v>126</v>
      </c>
      <c r="DV29" s="105">
        <v>252</v>
      </c>
      <c r="DW29" s="105">
        <v>126</v>
      </c>
      <c r="DX29" s="105">
        <v>378</v>
      </c>
      <c r="DY29" s="105">
        <v>122</v>
      </c>
      <c r="DZ29" s="106">
        <v>500</v>
      </c>
      <c r="EA29" s="110"/>
      <c r="EB29" s="107">
        <v>63</v>
      </c>
      <c r="EC29" s="105">
        <v>126</v>
      </c>
      <c r="ED29" s="105">
        <v>189</v>
      </c>
      <c r="EE29" s="105">
        <v>126</v>
      </c>
      <c r="EF29" s="106">
        <v>315</v>
      </c>
    </row>
    <row r="30" spans="1:136" ht="17.25" customHeight="1" outlineLevel="1" x14ac:dyDescent="0.25">
      <c r="A30" s="77" t="s">
        <v>15</v>
      </c>
      <c r="B30" s="105"/>
      <c r="C30" s="105"/>
      <c r="D30" s="107">
        <v>10</v>
      </c>
      <c r="E30" s="441">
        <f t="shared" si="0"/>
        <v>3.1010000000000009</v>
      </c>
      <c r="F30" s="441">
        <v>13.101000000000001</v>
      </c>
      <c r="G30" s="441">
        <f t="shared" si="1"/>
        <v>-0.10100000000000087</v>
      </c>
      <c r="H30" s="441">
        <v>13</v>
      </c>
      <c r="I30" s="441">
        <f t="shared" si="2"/>
        <v>0</v>
      </c>
      <c r="J30" s="106">
        <v>13</v>
      </c>
      <c r="K30" s="105"/>
      <c r="L30" s="107">
        <v>11</v>
      </c>
      <c r="M30" s="441">
        <v>9</v>
      </c>
      <c r="N30" s="441">
        <v>20</v>
      </c>
      <c r="O30" s="441">
        <v>10</v>
      </c>
      <c r="P30" s="441">
        <v>30</v>
      </c>
      <c r="Q30" s="441">
        <f t="shared" si="3"/>
        <v>9</v>
      </c>
      <c r="R30" s="106">
        <v>39</v>
      </c>
      <c r="S30" s="105"/>
      <c r="T30" s="107">
        <v>84</v>
      </c>
      <c r="U30" s="441">
        <v>69</v>
      </c>
      <c r="V30" s="441">
        <v>153</v>
      </c>
      <c r="W30" s="441">
        <v>69</v>
      </c>
      <c r="X30" s="441">
        <v>222</v>
      </c>
      <c r="Y30" s="441">
        <v>31</v>
      </c>
      <c r="Z30" s="106">
        <v>253</v>
      </c>
      <c r="AA30" s="105"/>
      <c r="AB30" s="107">
        <v>231</v>
      </c>
      <c r="AC30" s="105">
        <v>91</v>
      </c>
      <c r="AD30" s="105">
        <v>322</v>
      </c>
      <c r="AE30" s="105">
        <v>90</v>
      </c>
      <c r="AF30" s="105">
        <v>412</v>
      </c>
      <c r="AG30" s="105">
        <v>91</v>
      </c>
      <c r="AH30" s="106">
        <v>503</v>
      </c>
      <c r="AI30" s="105"/>
      <c r="AJ30" s="107">
        <v>311</v>
      </c>
      <c r="AK30" s="105">
        <v>309</v>
      </c>
      <c r="AL30" s="105">
        <v>620</v>
      </c>
      <c r="AM30" s="105">
        <v>300</v>
      </c>
      <c r="AN30" s="105">
        <v>920</v>
      </c>
      <c r="AO30" s="105">
        <v>302</v>
      </c>
      <c r="AP30" s="106">
        <v>1222</v>
      </c>
      <c r="AQ30" s="105"/>
      <c r="AR30" s="107">
        <v>312</v>
      </c>
      <c r="AS30" s="105">
        <v>311</v>
      </c>
      <c r="AT30" s="105">
        <v>623</v>
      </c>
      <c r="AU30" s="105">
        <v>311</v>
      </c>
      <c r="AV30" s="105">
        <v>934</v>
      </c>
      <c r="AW30" s="105">
        <v>310</v>
      </c>
      <c r="AX30" s="106">
        <v>1244</v>
      </c>
      <c r="AY30" s="105"/>
      <c r="AZ30" s="107">
        <v>312</v>
      </c>
      <c r="BA30" s="105">
        <v>311</v>
      </c>
      <c r="BB30" s="105">
        <v>623</v>
      </c>
      <c r="BC30" s="105">
        <v>312</v>
      </c>
      <c r="BD30" s="105">
        <v>935</v>
      </c>
      <c r="BE30" s="105">
        <v>312</v>
      </c>
      <c r="BF30" s="106">
        <v>1247</v>
      </c>
      <c r="BG30" s="105"/>
      <c r="BH30" s="107">
        <v>259</v>
      </c>
      <c r="BI30" s="105">
        <v>251</v>
      </c>
      <c r="BJ30" s="105">
        <v>510</v>
      </c>
      <c r="BK30" s="105">
        <v>251</v>
      </c>
      <c r="BL30" s="105">
        <v>761</v>
      </c>
      <c r="BM30" s="105">
        <v>291</v>
      </c>
      <c r="BN30" s="106">
        <v>1052</v>
      </c>
      <c r="BO30" s="77"/>
      <c r="BP30" s="107">
        <v>767</v>
      </c>
      <c r="BQ30" s="105">
        <v>766</v>
      </c>
      <c r="BR30" s="105">
        <v>1533</v>
      </c>
      <c r="BS30" s="105">
        <v>767</v>
      </c>
      <c r="BT30" s="105">
        <v>2300</v>
      </c>
      <c r="BU30" s="105">
        <v>264</v>
      </c>
      <c r="BV30" s="106">
        <v>2564</v>
      </c>
      <c r="BW30" s="110"/>
      <c r="BX30" s="107">
        <v>767</v>
      </c>
      <c r="BY30" s="105">
        <v>766</v>
      </c>
      <c r="BZ30" s="105">
        <v>1533</v>
      </c>
      <c r="CA30" s="105">
        <v>767</v>
      </c>
      <c r="CB30" s="105">
        <v>2300</v>
      </c>
      <c r="CC30" s="105">
        <v>764</v>
      </c>
      <c r="CD30" s="106">
        <v>3064</v>
      </c>
      <c r="CE30" s="110"/>
      <c r="CF30" s="107">
        <v>757</v>
      </c>
      <c r="CG30" s="105">
        <v>761</v>
      </c>
      <c r="CH30" s="105">
        <v>1518</v>
      </c>
      <c r="CI30" s="105">
        <v>769</v>
      </c>
      <c r="CJ30" s="105">
        <v>2287</v>
      </c>
      <c r="CK30" s="105">
        <v>767</v>
      </c>
      <c r="CL30" s="106">
        <v>3054</v>
      </c>
      <c r="CM30" s="110"/>
      <c r="CN30" s="107">
        <v>757</v>
      </c>
      <c r="CO30" s="105">
        <v>756</v>
      </c>
      <c r="CP30" s="105">
        <v>1513</v>
      </c>
      <c r="CQ30" s="105">
        <v>757</v>
      </c>
      <c r="CR30" s="105">
        <v>2270</v>
      </c>
      <c r="CS30" s="105">
        <v>756</v>
      </c>
      <c r="CT30" s="106">
        <v>3026</v>
      </c>
      <c r="CU30" s="110"/>
      <c r="CV30" s="107">
        <v>594</v>
      </c>
      <c r="CW30" s="105">
        <v>756</v>
      </c>
      <c r="CX30" s="105">
        <v>1350</v>
      </c>
      <c r="CY30" s="105">
        <v>757</v>
      </c>
      <c r="CZ30" s="105">
        <v>2107</v>
      </c>
      <c r="DA30" s="105">
        <v>757</v>
      </c>
      <c r="DB30" s="106">
        <v>2864</v>
      </c>
      <c r="DC30" s="110"/>
      <c r="DD30" s="107">
        <v>665</v>
      </c>
      <c r="DE30" s="105">
        <v>669</v>
      </c>
      <c r="DF30" s="105">
        <v>1334</v>
      </c>
      <c r="DG30" s="105">
        <v>675</v>
      </c>
      <c r="DH30" s="105">
        <v>2009</v>
      </c>
      <c r="DI30" s="105">
        <v>512</v>
      </c>
      <c r="DJ30" s="106">
        <v>2521</v>
      </c>
      <c r="DK30" s="110"/>
      <c r="DL30" s="107">
        <v>655</v>
      </c>
      <c r="DM30" s="105">
        <v>645</v>
      </c>
      <c r="DN30" s="105">
        <v>1300</v>
      </c>
      <c r="DO30" s="105">
        <v>665</v>
      </c>
      <c r="DP30" s="105">
        <v>1965</v>
      </c>
      <c r="DQ30" s="105">
        <v>666</v>
      </c>
      <c r="DR30" s="106">
        <v>2631</v>
      </c>
      <c r="DS30" s="110"/>
      <c r="DT30" s="107">
        <v>666</v>
      </c>
      <c r="DU30" s="105">
        <v>665</v>
      </c>
      <c r="DV30" s="105">
        <v>1331</v>
      </c>
      <c r="DW30" s="105">
        <v>665</v>
      </c>
      <c r="DX30" s="105">
        <v>1996</v>
      </c>
      <c r="DY30" s="105">
        <v>665</v>
      </c>
      <c r="DZ30" s="106">
        <v>2661</v>
      </c>
      <c r="EA30" s="110"/>
      <c r="EB30" s="107">
        <v>336</v>
      </c>
      <c r="EC30" s="105">
        <v>664</v>
      </c>
      <c r="ED30" s="105">
        <v>1000</v>
      </c>
      <c r="EE30" s="105">
        <v>667</v>
      </c>
      <c r="EF30" s="106">
        <v>1667</v>
      </c>
    </row>
    <row r="31" spans="1:136" ht="17.25" customHeight="1" outlineLevel="1" x14ac:dyDescent="0.25">
      <c r="A31" s="77" t="s">
        <v>199</v>
      </c>
      <c r="B31" s="105"/>
      <c r="C31" s="105"/>
      <c r="D31" s="107"/>
      <c r="E31" s="441"/>
      <c r="F31" s="441"/>
      <c r="G31" s="441">
        <f t="shared" si="1"/>
        <v>853</v>
      </c>
      <c r="H31" s="441">
        <v>853</v>
      </c>
      <c r="I31" s="441">
        <f t="shared" si="2"/>
        <v>0</v>
      </c>
      <c r="J31" s="106">
        <v>853</v>
      </c>
      <c r="K31" s="105"/>
      <c r="L31" s="107"/>
      <c r="M31" s="441"/>
      <c r="N31" s="441"/>
      <c r="O31" s="441"/>
      <c r="P31" s="441"/>
      <c r="Q31" s="441"/>
      <c r="R31" s="106"/>
      <c r="S31" s="105"/>
      <c r="T31" s="107"/>
      <c r="U31" s="441"/>
      <c r="V31" s="441"/>
      <c r="W31" s="441"/>
      <c r="X31" s="441"/>
      <c r="Y31" s="441"/>
      <c r="Z31" s="106"/>
      <c r="AA31" s="105"/>
      <c r="AB31" s="107"/>
      <c r="AC31" s="105"/>
      <c r="AD31" s="105"/>
      <c r="AE31" s="105"/>
      <c r="AF31" s="105"/>
      <c r="AG31" s="105"/>
      <c r="AH31" s="106"/>
      <c r="AI31" s="105"/>
      <c r="AJ31" s="107"/>
      <c r="AK31" s="105"/>
      <c r="AL31" s="105"/>
      <c r="AM31" s="105"/>
      <c r="AN31" s="105"/>
      <c r="AO31" s="105"/>
      <c r="AP31" s="106"/>
      <c r="AQ31" s="105"/>
      <c r="AR31" s="107"/>
      <c r="AS31" s="105"/>
      <c r="AT31" s="105"/>
      <c r="AU31" s="105"/>
      <c r="AV31" s="105"/>
      <c r="AW31" s="105"/>
      <c r="AX31" s="106"/>
      <c r="AY31" s="105"/>
      <c r="AZ31" s="107"/>
      <c r="BA31" s="105"/>
      <c r="BB31" s="105"/>
      <c r="BC31" s="105"/>
      <c r="BD31" s="105"/>
      <c r="BE31" s="105"/>
      <c r="BF31" s="106"/>
      <c r="BG31" s="105"/>
      <c r="BH31" s="107"/>
      <c r="BI31" s="105"/>
      <c r="BJ31" s="105"/>
      <c r="BK31" s="105"/>
      <c r="BL31" s="105"/>
      <c r="BM31" s="105"/>
      <c r="BN31" s="106"/>
      <c r="BO31" s="77"/>
      <c r="BP31" s="107"/>
      <c r="BQ31" s="105"/>
      <c r="BR31" s="105"/>
      <c r="BS31" s="105"/>
      <c r="BT31" s="105"/>
      <c r="BU31" s="105"/>
      <c r="BV31" s="106"/>
      <c r="BW31" s="110"/>
      <c r="BX31" s="107"/>
      <c r="BY31" s="105"/>
      <c r="BZ31" s="105"/>
      <c r="CA31" s="105"/>
      <c r="CB31" s="105"/>
      <c r="CC31" s="105"/>
      <c r="CD31" s="106"/>
      <c r="CE31" s="110"/>
      <c r="CF31" s="107"/>
      <c r="CG31" s="105"/>
      <c r="CH31" s="105"/>
      <c r="CI31" s="105"/>
      <c r="CJ31" s="105"/>
      <c r="CK31" s="105"/>
      <c r="CL31" s="106"/>
      <c r="CM31" s="110"/>
      <c r="CN31" s="107"/>
      <c r="CO31" s="105"/>
      <c r="CP31" s="105"/>
      <c r="CQ31" s="105"/>
      <c r="CR31" s="105"/>
      <c r="CS31" s="105"/>
      <c r="CT31" s="106"/>
      <c r="CU31" s="110"/>
      <c r="CV31" s="107"/>
      <c r="CW31" s="105"/>
      <c r="CX31" s="105"/>
      <c r="CY31" s="105"/>
      <c r="CZ31" s="105"/>
      <c r="DA31" s="105"/>
      <c r="DB31" s="106"/>
      <c r="DC31" s="110"/>
      <c r="DD31" s="107"/>
      <c r="DE31" s="105"/>
      <c r="DF31" s="105"/>
      <c r="DG31" s="105"/>
      <c r="DH31" s="105"/>
      <c r="DI31" s="105"/>
      <c r="DJ31" s="106"/>
      <c r="DK31" s="110"/>
      <c r="DL31" s="107"/>
      <c r="DM31" s="105"/>
      <c r="DN31" s="105"/>
      <c r="DO31" s="105"/>
      <c r="DP31" s="105"/>
      <c r="DQ31" s="105"/>
      <c r="DR31" s="106"/>
      <c r="DS31" s="110"/>
      <c r="DT31" s="107"/>
      <c r="DU31" s="105"/>
      <c r="DV31" s="105"/>
      <c r="DW31" s="105"/>
      <c r="DX31" s="105"/>
      <c r="DY31" s="105"/>
      <c r="DZ31" s="106"/>
      <c r="EA31" s="110"/>
      <c r="EB31" s="107"/>
      <c r="EC31" s="105"/>
      <c r="ED31" s="105"/>
      <c r="EE31" s="105"/>
      <c r="EF31" s="106"/>
    </row>
    <row r="32" spans="1:136" s="158" customFormat="1" ht="17.25" customHeight="1" outlineLevel="1" x14ac:dyDescent="0.25">
      <c r="A32" s="77" t="s">
        <v>16</v>
      </c>
      <c r="B32" s="155"/>
      <c r="C32" s="155"/>
      <c r="D32" s="154">
        <v>0</v>
      </c>
      <c r="E32" s="460">
        <f t="shared" si="0"/>
        <v>0</v>
      </c>
      <c r="F32" s="460">
        <v>0</v>
      </c>
      <c r="G32" s="460">
        <v>0</v>
      </c>
      <c r="H32" s="460">
        <v>0</v>
      </c>
      <c r="I32" s="460">
        <f t="shared" si="2"/>
        <v>0</v>
      </c>
      <c r="J32" s="156">
        <v>0</v>
      </c>
      <c r="K32" s="155"/>
      <c r="L32" s="154">
        <v>0</v>
      </c>
      <c r="M32" s="460">
        <v>0</v>
      </c>
      <c r="N32" s="460">
        <v>0</v>
      </c>
      <c r="O32" s="460">
        <v>0</v>
      </c>
      <c r="P32" s="460">
        <v>0</v>
      </c>
      <c r="Q32" s="460">
        <f t="shared" si="3"/>
        <v>0</v>
      </c>
      <c r="R32" s="156">
        <v>0</v>
      </c>
      <c r="S32" s="155"/>
      <c r="T32" s="154">
        <v>0</v>
      </c>
      <c r="U32" s="460">
        <v>0</v>
      </c>
      <c r="V32" s="460">
        <v>0</v>
      </c>
      <c r="W32" s="460">
        <v>0</v>
      </c>
      <c r="X32" s="460">
        <v>0</v>
      </c>
      <c r="Y32" s="460">
        <v>0</v>
      </c>
      <c r="Z32" s="156">
        <v>0</v>
      </c>
      <c r="AA32" s="155"/>
      <c r="AB32" s="154">
        <v>0</v>
      </c>
      <c r="AC32" s="155">
        <v>0</v>
      </c>
      <c r="AD32" s="155">
        <v>0</v>
      </c>
      <c r="AE32" s="155">
        <v>0</v>
      </c>
      <c r="AF32" s="155">
        <v>0</v>
      </c>
      <c r="AG32" s="155">
        <v>0</v>
      </c>
      <c r="AH32" s="156">
        <v>0</v>
      </c>
      <c r="AI32" s="155"/>
      <c r="AJ32" s="154">
        <v>0</v>
      </c>
      <c r="AK32" s="155">
        <v>0</v>
      </c>
      <c r="AL32" s="155">
        <v>0</v>
      </c>
      <c r="AM32" s="155">
        <v>0</v>
      </c>
      <c r="AN32" s="155">
        <v>0</v>
      </c>
      <c r="AO32" s="155">
        <v>0</v>
      </c>
      <c r="AP32" s="156">
        <v>0</v>
      </c>
      <c r="AQ32" s="155"/>
      <c r="AR32" s="154">
        <v>0</v>
      </c>
      <c r="AS32" s="155">
        <v>0</v>
      </c>
      <c r="AT32" s="155">
        <v>0</v>
      </c>
      <c r="AU32" s="155">
        <v>0</v>
      </c>
      <c r="AV32" s="155">
        <v>0</v>
      </c>
      <c r="AW32" s="155">
        <v>0</v>
      </c>
      <c r="AX32" s="156">
        <v>0</v>
      </c>
      <c r="AY32" s="155"/>
      <c r="AZ32" s="154">
        <v>0</v>
      </c>
      <c r="BA32" s="155">
        <v>0</v>
      </c>
      <c r="BB32" s="155">
        <v>0</v>
      </c>
      <c r="BC32" s="155">
        <v>0</v>
      </c>
      <c r="BD32" s="155">
        <v>0</v>
      </c>
      <c r="BE32" s="155">
        <v>0</v>
      </c>
      <c r="BF32" s="156">
        <v>0</v>
      </c>
      <c r="BG32" s="155"/>
      <c r="BH32" s="154">
        <v>0</v>
      </c>
      <c r="BI32" s="155">
        <v>0</v>
      </c>
      <c r="BJ32" s="155">
        <v>0</v>
      </c>
      <c r="BK32" s="155">
        <v>0</v>
      </c>
      <c r="BL32" s="155">
        <v>0</v>
      </c>
      <c r="BM32" s="155">
        <v>0</v>
      </c>
      <c r="BN32" s="156">
        <v>0</v>
      </c>
      <c r="BO32" s="115"/>
      <c r="BP32" s="154">
        <v>0</v>
      </c>
      <c r="BQ32" s="155">
        <v>0</v>
      </c>
      <c r="BR32" s="155">
        <v>0</v>
      </c>
      <c r="BS32" s="155">
        <v>0</v>
      </c>
      <c r="BT32" s="155">
        <v>0</v>
      </c>
      <c r="BU32" s="155">
        <v>0</v>
      </c>
      <c r="BV32" s="156">
        <v>0</v>
      </c>
      <c r="BW32" s="157"/>
      <c r="BX32" s="154">
        <v>0</v>
      </c>
      <c r="BY32" s="155">
        <v>0</v>
      </c>
      <c r="BZ32" s="155">
        <v>0</v>
      </c>
      <c r="CA32" s="155">
        <v>0</v>
      </c>
      <c r="CB32" s="155">
        <v>0</v>
      </c>
      <c r="CC32" s="155">
        <v>0</v>
      </c>
      <c r="CD32" s="156">
        <v>0</v>
      </c>
      <c r="CE32" s="157"/>
      <c r="CF32" s="154">
        <v>0</v>
      </c>
      <c r="CG32" s="155">
        <v>0</v>
      </c>
      <c r="CH32" s="155">
        <v>0</v>
      </c>
      <c r="CI32" s="155">
        <v>0</v>
      </c>
      <c r="CJ32" s="155">
        <v>0</v>
      </c>
      <c r="CK32" s="155">
        <v>0</v>
      </c>
      <c r="CL32" s="156">
        <v>0</v>
      </c>
      <c r="CM32" s="157"/>
      <c r="CN32" s="154">
        <v>0</v>
      </c>
      <c r="CO32" s="155">
        <v>0</v>
      </c>
      <c r="CP32" s="155">
        <v>0</v>
      </c>
      <c r="CQ32" s="155">
        <v>0</v>
      </c>
      <c r="CR32" s="155">
        <v>0</v>
      </c>
      <c r="CS32" s="155">
        <v>0</v>
      </c>
      <c r="CT32" s="156">
        <v>0</v>
      </c>
      <c r="CU32" s="157"/>
      <c r="CV32" s="154">
        <v>0</v>
      </c>
      <c r="CW32" s="155">
        <v>0</v>
      </c>
      <c r="CX32" s="155">
        <v>0</v>
      </c>
      <c r="CY32" s="155">
        <v>0</v>
      </c>
      <c r="CZ32" s="155">
        <v>0</v>
      </c>
      <c r="DA32" s="155">
        <v>0</v>
      </c>
      <c r="DB32" s="156">
        <v>0</v>
      </c>
      <c r="DC32" s="157"/>
      <c r="DD32" s="154">
        <v>0</v>
      </c>
      <c r="DE32" s="155">
        <v>0</v>
      </c>
      <c r="DF32" s="155">
        <v>0</v>
      </c>
      <c r="DG32" s="155">
        <v>0</v>
      </c>
      <c r="DH32" s="155">
        <v>0</v>
      </c>
      <c r="DI32" s="155">
        <v>0</v>
      </c>
      <c r="DJ32" s="156">
        <v>0</v>
      </c>
      <c r="DK32" s="157"/>
      <c r="DL32" s="154">
        <v>0</v>
      </c>
      <c r="DM32" s="155">
        <v>0</v>
      </c>
      <c r="DN32" s="155">
        <v>0</v>
      </c>
      <c r="DO32" s="155">
        <v>0</v>
      </c>
      <c r="DP32" s="155">
        <v>0</v>
      </c>
      <c r="DQ32" s="155">
        <v>0</v>
      </c>
      <c r="DR32" s="156">
        <v>0</v>
      </c>
      <c r="DS32" s="157"/>
      <c r="DT32" s="154">
        <v>0</v>
      </c>
      <c r="DU32" s="155">
        <v>0</v>
      </c>
      <c r="DV32" s="155">
        <v>0</v>
      </c>
      <c r="DW32" s="155">
        <v>0</v>
      </c>
      <c r="DX32" s="155">
        <v>0</v>
      </c>
      <c r="DY32" s="155">
        <v>0</v>
      </c>
      <c r="DZ32" s="156">
        <v>0</v>
      </c>
      <c r="EA32" s="157"/>
      <c r="EB32" s="154">
        <v>0</v>
      </c>
      <c r="EC32" s="155">
        <v>0</v>
      </c>
      <c r="ED32" s="155">
        <v>0</v>
      </c>
      <c r="EE32" s="155">
        <v>0</v>
      </c>
      <c r="EF32" s="156">
        <v>0</v>
      </c>
    </row>
    <row r="33" spans="1:136" s="100" customFormat="1" x14ac:dyDescent="0.25">
      <c r="A33" s="89" t="s">
        <v>17</v>
      </c>
      <c r="B33" s="103"/>
      <c r="C33" s="103"/>
      <c r="D33" s="108">
        <v>6524</v>
      </c>
      <c r="E33" s="442">
        <f t="shared" si="0"/>
        <v>5806.4678000000022</v>
      </c>
      <c r="F33" s="442">
        <v>12330.467800000002</v>
      </c>
      <c r="G33" s="442">
        <f t="shared" si="1"/>
        <v>4972.5321999999978</v>
      </c>
      <c r="H33" s="442">
        <v>17303</v>
      </c>
      <c r="I33" s="442">
        <f t="shared" si="2"/>
        <v>6314</v>
      </c>
      <c r="J33" s="104">
        <v>23617</v>
      </c>
      <c r="K33" s="103"/>
      <c r="L33" s="108">
        <v>5495</v>
      </c>
      <c r="M33" s="442">
        <v>6324</v>
      </c>
      <c r="N33" s="442">
        <v>11819</v>
      </c>
      <c r="O33" s="442">
        <v>6791</v>
      </c>
      <c r="P33" s="442">
        <v>18610</v>
      </c>
      <c r="Q33" s="442">
        <f t="shared" si="3"/>
        <v>6622</v>
      </c>
      <c r="R33" s="104">
        <v>25232</v>
      </c>
      <c r="S33" s="103"/>
      <c r="T33" s="108">
        <v>5738</v>
      </c>
      <c r="U33" s="442">
        <v>6329</v>
      </c>
      <c r="V33" s="442">
        <v>12067</v>
      </c>
      <c r="W33" s="442">
        <v>6205</v>
      </c>
      <c r="X33" s="442">
        <v>18272</v>
      </c>
      <c r="Y33" s="442">
        <v>4619</v>
      </c>
      <c r="Z33" s="104">
        <v>22891</v>
      </c>
      <c r="AA33" s="103"/>
      <c r="AB33" s="108">
        <v>6481</v>
      </c>
      <c r="AC33" s="103">
        <v>6484</v>
      </c>
      <c r="AD33" s="103">
        <v>12965</v>
      </c>
      <c r="AE33" s="103">
        <v>6122</v>
      </c>
      <c r="AF33" s="103">
        <v>19087</v>
      </c>
      <c r="AG33" s="103">
        <v>6593</v>
      </c>
      <c r="AH33" s="104">
        <v>25680</v>
      </c>
      <c r="AI33" s="103"/>
      <c r="AJ33" s="108">
        <v>5932</v>
      </c>
      <c r="AK33" s="103">
        <v>6368</v>
      </c>
      <c r="AL33" s="103">
        <v>12300</v>
      </c>
      <c r="AM33" s="103">
        <v>6902</v>
      </c>
      <c r="AN33" s="103">
        <v>19202</v>
      </c>
      <c r="AO33" s="103">
        <v>7133</v>
      </c>
      <c r="AP33" s="104">
        <v>26335</v>
      </c>
      <c r="AQ33" s="103"/>
      <c r="AR33" s="108">
        <v>5640</v>
      </c>
      <c r="AS33" s="103">
        <v>6275</v>
      </c>
      <c r="AT33" s="103">
        <v>11915</v>
      </c>
      <c r="AU33" s="103">
        <v>6191</v>
      </c>
      <c r="AV33" s="103">
        <v>18106</v>
      </c>
      <c r="AW33" s="103">
        <v>5469</v>
      </c>
      <c r="AX33" s="104">
        <v>23575</v>
      </c>
      <c r="AY33" s="103"/>
      <c r="AZ33" s="108">
        <v>5832</v>
      </c>
      <c r="BA33" s="103">
        <v>5650</v>
      </c>
      <c r="BB33" s="103">
        <v>11482</v>
      </c>
      <c r="BC33" s="103">
        <v>5759</v>
      </c>
      <c r="BD33" s="103">
        <v>17241</v>
      </c>
      <c r="BE33" s="103">
        <v>5477</v>
      </c>
      <c r="BF33" s="104">
        <v>22718</v>
      </c>
      <c r="BG33" s="103"/>
      <c r="BH33" s="108">
        <v>5722</v>
      </c>
      <c r="BI33" s="103">
        <v>6765</v>
      </c>
      <c r="BJ33" s="103">
        <v>12487</v>
      </c>
      <c r="BK33" s="103">
        <v>6295</v>
      </c>
      <c r="BL33" s="103">
        <v>18782</v>
      </c>
      <c r="BM33" s="103">
        <v>5362</v>
      </c>
      <c r="BN33" s="104">
        <v>24144</v>
      </c>
      <c r="BO33" s="89"/>
      <c r="BP33" s="108">
        <v>5402</v>
      </c>
      <c r="BQ33" s="103">
        <v>5179</v>
      </c>
      <c r="BR33" s="103">
        <v>10581</v>
      </c>
      <c r="BS33" s="103">
        <v>5826</v>
      </c>
      <c r="BT33" s="103">
        <v>16407</v>
      </c>
      <c r="BU33" s="103">
        <v>6048</v>
      </c>
      <c r="BV33" s="104">
        <v>22455</v>
      </c>
      <c r="BW33" s="109"/>
      <c r="BX33" s="108">
        <v>5907</v>
      </c>
      <c r="BY33" s="103">
        <v>6323</v>
      </c>
      <c r="BZ33" s="103">
        <v>12230</v>
      </c>
      <c r="CA33" s="103">
        <v>5673</v>
      </c>
      <c r="CB33" s="103">
        <v>17903</v>
      </c>
      <c r="CC33" s="103">
        <v>5142</v>
      </c>
      <c r="CD33" s="104">
        <v>23045</v>
      </c>
      <c r="CE33" s="109"/>
      <c r="CF33" s="108">
        <v>6156</v>
      </c>
      <c r="CG33" s="103">
        <v>5920</v>
      </c>
      <c r="CH33" s="103">
        <v>12076</v>
      </c>
      <c r="CI33" s="103">
        <v>6273</v>
      </c>
      <c r="CJ33" s="103">
        <v>18349</v>
      </c>
      <c r="CK33" s="103">
        <v>5618</v>
      </c>
      <c r="CL33" s="104">
        <v>23967</v>
      </c>
      <c r="CM33" s="109"/>
      <c r="CN33" s="108">
        <v>7082</v>
      </c>
      <c r="CO33" s="103">
        <v>6806</v>
      </c>
      <c r="CP33" s="103">
        <v>13888</v>
      </c>
      <c r="CQ33" s="103">
        <v>6609</v>
      </c>
      <c r="CR33" s="103">
        <v>20497</v>
      </c>
      <c r="CS33" s="103">
        <v>6064</v>
      </c>
      <c r="CT33" s="104">
        <v>26561</v>
      </c>
      <c r="CU33" s="109"/>
      <c r="CV33" s="108">
        <v>944</v>
      </c>
      <c r="CW33" s="103">
        <v>6258</v>
      </c>
      <c r="CX33" s="103">
        <v>7202</v>
      </c>
      <c r="CY33" s="103">
        <v>6498</v>
      </c>
      <c r="CZ33" s="103">
        <v>13700</v>
      </c>
      <c r="DA33" s="103">
        <v>6688</v>
      </c>
      <c r="DB33" s="104">
        <v>20388</v>
      </c>
      <c r="DC33" s="109"/>
      <c r="DD33" s="108">
        <v>3624</v>
      </c>
      <c r="DE33" s="103">
        <v>4400</v>
      </c>
      <c r="DF33" s="103">
        <v>8024</v>
      </c>
      <c r="DG33" s="103">
        <v>3576</v>
      </c>
      <c r="DH33" s="103">
        <v>11600</v>
      </c>
      <c r="DI33" s="103">
        <v>4697</v>
      </c>
      <c r="DJ33" s="104">
        <v>16297</v>
      </c>
      <c r="DK33" s="109"/>
      <c r="DL33" s="108">
        <v>4783</v>
      </c>
      <c r="DM33" s="103">
        <v>4455</v>
      </c>
      <c r="DN33" s="103">
        <v>9238</v>
      </c>
      <c r="DO33" s="103">
        <v>4630</v>
      </c>
      <c r="DP33" s="103">
        <v>13868</v>
      </c>
      <c r="DQ33" s="103">
        <v>3796</v>
      </c>
      <c r="DR33" s="104">
        <v>17664</v>
      </c>
      <c r="DS33" s="109"/>
      <c r="DT33" s="108">
        <v>5125</v>
      </c>
      <c r="DU33" s="103">
        <v>4070</v>
      </c>
      <c r="DV33" s="103">
        <v>9195</v>
      </c>
      <c r="DW33" s="103">
        <v>4188</v>
      </c>
      <c r="DX33" s="103">
        <v>13383</v>
      </c>
      <c r="DY33" s="103">
        <v>3695</v>
      </c>
      <c r="DZ33" s="104">
        <v>17078</v>
      </c>
      <c r="EA33" s="109"/>
      <c r="EB33" s="108">
        <v>1855</v>
      </c>
      <c r="EC33" s="103">
        <v>3754</v>
      </c>
      <c r="ED33" s="103">
        <v>5609</v>
      </c>
      <c r="EE33" s="103">
        <v>1874</v>
      </c>
      <c r="EF33" s="104">
        <v>7483</v>
      </c>
    </row>
    <row r="34" spans="1:136" ht="15" customHeight="1" outlineLevel="1" x14ac:dyDescent="0.25">
      <c r="A34" s="77" t="s">
        <v>18</v>
      </c>
      <c r="B34" s="105"/>
      <c r="C34" s="105"/>
      <c r="D34" s="107">
        <v>77</v>
      </c>
      <c r="E34" s="441">
        <f t="shared" si="0"/>
        <v>10.242670000000004</v>
      </c>
      <c r="F34" s="441">
        <v>87.242670000000004</v>
      </c>
      <c r="G34" s="441">
        <f t="shared" si="1"/>
        <v>254.75733</v>
      </c>
      <c r="H34" s="441">
        <v>342</v>
      </c>
      <c r="I34" s="441">
        <f t="shared" si="2"/>
        <v>45</v>
      </c>
      <c r="J34" s="106">
        <v>387</v>
      </c>
      <c r="K34" s="105"/>
      <c r="L34" s="107">
        <v>34</v>
      </c>
      <c r="M34" s="441">
        <v>94</v>
      </c>
      <c r="N34" s="441">
        <v>128</v>
      </c>
      <c r="O34" s="441">
        <v>85</v>
      </c>
      <c r="P34" s="441">
        <v>213</v>
      </c>
      <c r="Q34" s="441">
        <f t="shared" si="3"/>
        <v>205</v>
      </c>
      <c r="R34" s="106">
        <v>418</v>
      </c>
      <c r="S34" s="105"/>
      <c r="T34" s="107">
        <v>43</v>
      </c>
      <c r="U34" s="441">
        <v>50</v>
      </c>
      <c r="V34" s="441">
        <v>93</v>
      </c>
      <c r="W34" s="441">
        <v>145</v>
      </c>
      <c r="X34" s="441">
        <v>238</v>
      </c>
      <c r="Y34" s="441">
        <v>274</v>
      </c>
      <c r="Z34" s="106">
        <v>512</v>
      </c>
      <c r="AA34" s="105"/>
      <c r="AB34" s="107">
        <v>-20</v>
      </c>
      <c r="AC34" s="105">
        <v>10</v>
      </c>
      <c r="AD34" s="105">
        <v>-10</v>
      </c>
      <c r="AE34" s="105">
        <v>100</v>
      </c>
      <c r="AF34" s="105">
        <v>90</v>
      </c>
      <c r="AG34" s="105">
        <v>183</v>
      </c>
      <c r="AH34" s="106">
        <v>273</v>
      </c>
      <c r="AI34" s="105"/>
      <c r="AJ34" s="107">
        <v>40</v>
      </c>
      <c r="AK34" s="105">
        <v>119</v>
      </c>
      <c r="AL34" s="105">
        <v>159</v>
      </c>
      <c r="AM34" s="105">
        <v>4</v>
      </c>
      <c r="AN34" s="105">
        <v>163</v>
      </c>
      <c r="AO34" s="105">
        <v>51</v>
      </c>
      <c r="AP34" s="106">
        <v>214</v>
      </c>
      <c r="AQ34" s="105"/>
      <c r="AR34" s="107">
        <v>83</v>
      </c>
      <c r="AS34" s="105">
        <v>174</v>
      </c>
      <c r="AT34" s="105">
        <v>257</v>
      </c>
      <c r="AU34" s="105">
        <v>72</v>
      </c>
      <c r="AV34" s="105">
        <v>329</v>
      </c>
      <c r="AW34" s="105">
        <v>102</v>
      </c>
      <c r="AX34" s="106">
        <v>431</v>
      </c>
      <c r="AY34" s="105"/>
      <c r="AZ34" s="107">
        <v>41</v>
      </c>
      <c r="BA34" s="105">
        <v>306</v>
      </c>
      <c r="BB34" s="105">
        <v>347</v>
      </c>
      <c r="BC34" s="105">
        <v>132</v>
      </c>
      <c r="BD34" s="105">
        <v>479</v>
      </c>
      <c r="BE34" s="105">
        <v>115</v>
      </c>
      <c r="BF34" s="106">
        <v>594</v>
      </c>
      <c r="BG34" s="105"/>
      <c r="BH34" s="107">
        <v>104</v>
      </c>
      <c r="BI34" s="105">
        <v>103</v>
      </c>
      <c r="BJ34" s="105">
        <v>207</v>
      </c>
      <c r="BK34" s="105">
        <v>111</v>
      </c>
      <c r="BL34" s="105">
        <v>318</v>
      </c>
      <c r="BM34" s="105">
        <v>94</v>
      </c>
      <c r="BN34" s="106">
        <v>412</v>
      </c>
      <c r="BO34" s="77"/>
      <c r="BP34" s="107">
        <v>94</v>
      </c>
      <c r="BQ34" s="105">
        <v>95</v>
      </c>
      <c r="BR34" s="105">
        <v>189</v>
      </c>
      <c r="BS34" s="105">
        <v>104</v>
      </c>
      <c r="BT34" s="105">
        <v>293</v>
      </c>
      <c r="BU34" s="105">
        <v>95</v>
      </c>
      <c r="BV34" s="106">
        <v>388</v>
      </c>
      <c r="BW34" s="110"/>
      <c r="BX34" s="107">
        <v>137</v>
      </c>
      <c r="BY34" s="105">
        <v>250</v>
      </c>
      <c r="BZ34" s="105">
        <v>387</v>
      </c>
      <c r="CA34" s="105">
        <v>138</v>
      </c>
      <c r="CB34" s="105">
        <v>525</v>
      </c>
      <c r="CC34" s="105">
        <v>184</v>
      </c>
      <c r="CD34" s="106">
        <v>709</v>
      </c>
      <c r="CE34" s="110"/>
      <c r="CF34" s="107">
        <v>91</v>
      </c>
      <c r="CG34" s="105">
        <v>102</v>
      </c>
      <c r="CH34" s="105">
        <v>193</v>
      </c>
      <c r="CI34" s="105">
        <v>100</v>
      </c>
      <c r="CJ34" s="105">
        <v>293</v>
      </c>
      <c r="CK34" s="105">
        <v>72</v>
      </c>
      <c r="CL34" s="106">
        <v>365</v>
      </c>
      <c r="CM34" s="110"/>
      <c r="CN34" s="107">
        <v>92</v>
      </c>
      <c r="CO34" s="105">
        <v>83</v>
      </c>
      <c r="CP34" s="105">
        <v>175</v>
      </c>
      <c r="CQ34" s="105">
        <v>3</v>
      </c>
      <c r="CR34" s="105">
        <v>178</v>
      </c>
      <c r="CS34" s="105">
        <v>90</v>
      </c>
      <c r="CT34" s="106">
        <v>268</v>
      </c>
      <c r="CU34" s="110"/>
      <c r="CV34" s="107">
        <v>34</v>
      </c>
      <c r="CW34" s="105">
        <v>61</v>
      </c>
      <c r="CX34" s="105">
        <v>95</v>
      </c>
      <c r="CY34" s="105">
        <v>52</v>
      </c>
      <c r="CZ34" s="105">
        <v>147</v>
      </c>
      <c r="DA34" s="105">
        <v>352</v>
      </c>
      <c r="DB34" s="106">
        <v>499</v>
      </c>
      <c r="DC34" s="110"/>
      <c r="DD34" s="107">
        <v>32</v>
      </c>
      <c r="DE34" s="105">
        <v>59</v>
      </c>
      <c r="DF34" s="105">
        <v>91</v>
      </c>
      <c r="DG34" s="105">
        <v>-29</v>
      </c>
      <c r="DH34" s="105">
        <v>62</v>
      </c>
      <c r="DI34" s="105">
        <v>25</v>
      </c>
      <c r="DJ34" s="106">
        <v>87</v>
      </c>
      <c r="DK34" s="110"/>
      <c r="DL34" s="107">
        <v>41</v>
      </c>
      <c r="DM34" s="105">
        <v>52</v>
      </c>
      <c r="DN34" s="105">
        <v>93</v>
      </c>
      <c r="DO34" s="105">
        <v>33</v>
      </c>
      <c r="DP34" s="105">
        <v>126</v>
      </c>
      <c r="DQ34" s="105">
        <v>30</v>
      </c>
      <c r="DR34" s="106">
        <v>156</v>
      </c>
      <c r="DS34" s="110"/>
      <c r="DT34" s="107"/>
      <c r="DU34" s="105">
        <v>-12</v>
      </c>
      <c r="DV34" s="105">
        <v>-12</v>
      </c>
      <c r="DW34" s="105">
        <v>-200</v>
      </c>
      <c r="DX34" s="105">
        <v>-212</v>
      </c>
      <c r="DY34" s="105">
        <v>107</v>
      </c>
      <c r="DZ34" s="106">
        <v>-105</v>
      </c>
      <c r="EA34" s="110"/>
      <c r="EB34" s="107">
        <v>-10</v>
      </c>
      <c r="EC34" s="105">
        <v>-47</v>
      </c>
      <c r="ED34" s="105">
        <v>-57</v>
      </c>
      <c r="EE34" s="105">
        <v>0</v>
      </c>
      <c r="EF34" s="106">
        <v>-57</v>
      </c>
    </row>
    <row r="35" spans="1:136" ht="15" customHeight="1" outlineLevel="1" x14ac:dyDescent="0.25">
      <c r="A35" s="77" t="s">
        <v>19</v>
      </c>
      <c r="B35" s="105"/>
      <c r="C35" s="105"/>
      <c r="D35" s="107">
        <v>0</v>
      </c>
      <c r="E35" s="441">
        <f t="shared" si="0"/>
        <v>-6.7000000000000004E-2</v>
      </c>
      <c r="F35" s="441">
        <v>-6.7000000000000004E-2</v>
      </c>
      <c r="G35" s="441">
        <f t="shared" si="1"/>
        <v>6.7000000000000004E-2</v>
      </c>
      <c r="H35" s="441">
        <v>0</v>
      </c>
      <c r="I35" s="441">
        <f t="shared" si="2"/>
        <v>0</v>
      </c>
      <c r="J35" s="106">
        <v>0</v>
      </c>
      <c r="K35" s="105"/>
      <c r="L35" s="107">
        <v>0</v>
      </c>
      <c r="M35" s="441">
        <v>0</v>
      </c>
      <c r="N35" s="441">
        <v>0</v>
      </c>
      <c r="O35" s="441">
        <v>0</v>
      </c>
      <c r="P35" s="441">
        <v>0</v>
      </c>
      <c r="Q35" s="441">
        <f t="shared" si="3"/>
        <v>0</v>
      </c>
      <c r="R35" s="106">
        <v>0</v>
      </c>
      <c r="S35" s="105"/>
      <c r="T35" s="107">
        <v>0</v>
      </c>
      <c r="U35" s="441">
        <v>0</v>
      </c>
      <c r="V35" s="441">
        <v>0</v>
      </c>
      <c r="W35" s="441">
        <v>0</v>
      </c>
      <c r="X35" s="441">
        <v>0</v>
      </c>
      <c r="Y35" s="441">
        <v>0</v>
      </c>
      <c r="Z35" s="106">
        <v>0</v>
      </c>
      <c r="AA35" s="105"/>
      <c r="AB35" s="107">
        <v>-1</v>
      </c>
      <c r="AC35" s="105">
        <v>1</v>
      </c>
      <c r="AD35" s="105">
        <v>0</v>
      </c>
      <c r="AE35" s="105">
        <v>-1</v>
      </c>
      <c r="AF35" s="105">
        <v>-1</v>
      </c>
      <c r="AG35" s="105">
        <v>-1</v>
      </c>
      <c r="AH35" s="106">
        <v>-2</v>
      </c>
      <c r="AI35" s="105"/>
      <c r="AJ35" s="107">
        <v>0</v>
      </c>
      <c r="AK35" s="105">
        <v>-1</v>
      </c>
      <c r="AL35" s="105">
        <v>-1</v>
      </c>
      <c r="AM35" s="105">
        <v>-1</v>
      </c>
      <c r="AN35" s="105">
        <v>-2</v>
      </c>
      <c r="AO35" s="105">
        <v>-44</v>
      </c>
      <c r="AP35" s="106">
        <v>-46</v>
      </c>
      <c r="AQ35" s="105"/>
      <c r="AR35" s="107">
        <v>0</v>
      </c>
      <c r="AS35" s="105">
        <v>-11</v>
      </c>
      <c r="AT35" s="105">
        <v>-11</v>
      </c>
      <c r="AU35" s="105">
        <v>0</v>
      </c>
      <c r="AV35" s="105">
        <v>-11</v>
      </c>
      <c r="AW35" s="105">
        <v>-1</v>
      </c>
      <c r="AX35" s="106">
        <v>-12</v>
      </c>
      <c r="AY35" s="105"/>
      <c r="AZ35" s="107">
        <v>0</v>
      </c>
      <c r="BA35" s="105">
        <v>-1</v>
      </c>
      <c r="BB35" s="105">
        <v>-1</v>
      </c>
      <c r="BC35" s="105">
        <v>1</v>
      </c>
      <c r="BD35" s="105">
        <v>0</v>
      </c>
      <c r="BE35" s="105">
        <v>0</v>
      </c>
      <c r="BF35" s="106">
        <v>0</v>
      </c>
      <c r="BG35" s="105"/>
      <c r="BH35" s="107">
        <v>0</v>
      </c>
      <c r="BI35" s="105">
        <v>-1</v>
      </c>
      <c r="BJ35" s="105">
        <v>-1</v>
      </c>
      <c r="BK35" s="105">
        <v>0</v>
      </c>
      <c r="BL35" s="105">
        <v>-1</v>
      </c>
      <c r="BM35" s="105">
        <v>-1</v>
      </c>
      <c r="BN35" s="106">
        <v>-2</v>
      </c>
      <c r="BO35" s="77"/>
      <c r="BP35" s="107">
        <v>0</v>
      </c>
      <c r="BQ35" s="105">
        <v>-1</v>
      </c>
      <c r="BR35" s="105">
        <v>-1</v>
      </c>
      <c r="BS35" s="105">
        <v>0</v>
      </c>
      <c r="BT35" s="105">
        <v>-1</v>
      </c>
      <c r="BU35" s="105">
        <v>0</v>
      </c>
      <c r="BV35" s="106">
        <v>-1</v>
      </c>
      <c r="BW35" s="110"/>
      <c r="BX35" s="107">
        <v>0</v>
      </c>
      <c r="BY35" s="105">
        <v>-1</v>
      </c>
      <c r="BZ35" s="105">
        <v>-1</v>
      </c>
      <c r="CA35" s="105">
        <v>0</v>
      </c>
      <c r="CB35" s="105">
        <v>-1</v>
      </c>
      <c r="CC35" s="105">
        <v>-1</v>
      </c>
      <c r="CD35" s="106">
        <v>-2</v>
      </c>
      <c r="CE35" s="110"/>
      <c r="CF35" s="107">
        <v>0</v>
      </c>
      <c r="CG35" s="105">
        <v>-1</v>
      </c>
      <c r="CH35" s="105">
        <v>-1</v>
      </c>
      <c r="CI35" s="105">
        <v>0</v>
      </c>
      <c r="CJ35" s="105">
        <v>-1</v>
      </c>
      <c r="CK35" s="105">
        <v>-1</v>
      </c>
      <c r="CL35" s="106">
        <v>-2</v>
      </c>
      <c r="CM35" s="110"/>
      <c r="CN35" s="107">
        <v>-1</v>
      </c>
      <c r="CO35" s="105">
        <v>0</v>
      </c>
      <c r="CP35" s="105">
        <v>-1</v>
      </c>
      <c r="CQ35" s="105">
        <v>0</v>
      </c>
      <c r="CR35" s="105">
        <v>-1</v>
      </c>
      <c r="CS35" s="105">
        <v>-1</v>
      </c>
      <c r="CT35" s="106">
        <v>-2</v>
      </c>
      <c r="CU35" s="110"/>
      <c r="CV35" s="107">
        <v>-1</v>
      </c>
      <c r="CW35" s="105">
        <v>0</v>
      </c>
      <c r="CX35" s="105">
        <v>-1</v>
      </c>
      <c r="CY35" s="105">
        <v>0</v>
      </c>
      <c r="CZ35" s="105">
        <v>-1</v>
      </c>
      <c r="DA35" s="105">
        <v>-2</v>
      </c>
      <c r="DB35" s="106">
        <v>-3</v>
      </c>
      <c r="DC35" s="110"/>
      <c r="DD35" s="107">
        <v>-1</v>
      </c>
      <c r="DE35" s="105">
        <v>-1</v>
      </c>
      <c r="DF35" s="105">
        <v>-2</v>
      </c>
      <c r="DG35" s="105">
        <v>0</v>
      </c>
      <c r="DH35" s="105">
        <v>-2</v>
      </c>
      <c r="DI35" s="105">
        <v>-1049</v>
      </c>
      <c r="DJ35" s="106">
        <v>-1051</v>
      </c>
      <c r="DK35" s="110"/>
      <c r="DL35" s="107">
        <v>-9</v>
      </c>
      <c r="DM35" s="105">
        <v>-6</v>
      </c>
      <c r="DN35" s="105">
        <v>-15</v>
      </c>
      <c r="DO35" s="105">
        <v>-5</v>
      </c>
      <c r="DP35" s="105">
        <v>-20</v>
      </c>
      <c r="DQ35" s="105">
        <v>-3</v>
      </c>
      <c r="DR35" s="106">
        <v>-23</v>
      </c>
      <c r="DS35" s="110"/>
      <c r="DT35" s="107">
        <v>-158</v>
      </c>
      <c r="DU35" s="105">
        <v>-64</v>
      </c>
      <c r="DV35" s="105">
        <v>-222</v>
      </c>
      <c r="DW35" s="105">
        <v>159</v>
      </c>
      <c r="DX35" s="105">
        <v>-63</v>
      </c>
      <c r="DY35" s="105">
        <v>-95</v>
      </c>
      <c r="DZ35" s="106">
        <v>-158</v>
      </c>
      <c r="EA35" s="110"/>
      <c r="EB35" s="107">
        <v>-67</v>
      </c>
      <c r="EC35" s="105">
        <v>-106</v>
      </c>
      <c r="ED35" s="105">
        <v>-173</v>
      </c>
      <c r="EE35" s="105">
        <v>-154</v>
      </c>
      <c r="EF35" s="106">
        <v>-327</v>
      </c>
    </row>
    <row r="36" spans="1:136" ht="15" customHeight="1" outlineLevel="1" x14ac:dyDescent="0.25">
      <c r="A36" s="77" t="s">
        <v>20</v>
      </c>
      <c r="B36" s="105"/>
      <c r="C36" s="105"/>
      <c r="D36" s="107">
        <v>1648</v>
      </c>
      <c r="E36" s="441">
        <f t="shared" si="0"/>
        <v>1581.7905900000001</v>
      </c>
      <c r="F36" s="441">
        <v>3229.7905900000001</v>
      </c>
      <c r="G36" s="441">
        <f t="shared" si="1"/>
        <v>1621.2094099999999</v>
      </c>
      <c r="H36" s="441">
        <v>4851</v>
      </c>
      <c r="I36" s="441">
        <f t="shared" si="2"/>
        <v>1808</v>
      </c>
      <c r="J36" s="106">
        <v>6659</v>
      </c>
      <c r="K36" s="105"/>
      <c r="L36" s="107">
        <v>1877</v>
      </c>
      <c r="M36" s="441">
        <v>1815</v>
      </c>
      <c r="N36" s="441">
        <v>3692</v>
      </c>
      <c r="O36" s="441">
        <v>1792</v>
      </c>
      <c r="P36" s="441">
        <v>5484</v>
      </c>
      <c r="Q36" s="441">
        <f t="shared" si="3"/>
        <v>1733</v>
      </c>
      <c r="R36" s="106">
        <v>7217</v>
      </c>
      <c r="S36" s="105"/>
      <c r="T36" s="107">
        <v>1447</v>
      </c>
      <c r="U36" s="441">
        <v>1396</v>
      </c>
      <c r="V36" s="441">
        <v>2843</v>
      </c>
      <c r="W36" s="441">
        <v>1333</v>
      </c>
      <c r="X36" s="441">
        <v>4176</v>
      </c>
      <c r="Y36" s="441">
        <v>1602</v>
      </c>
      <c r="Z36" s="106">
        <v>5778</v>
      </c>
      <c r="AA36" s="105"/>
      <c r="AB36" s="107">
        <v>1737</v>
      </c>
      <c r="AC36" s="105">
        <v>1687</v>
      </c>
      <c r="AD36" s="105">
        <v>3424</v>
      </c>
      <c r="AE36" s="105">
        <v>1605</v>
      </c>
      <c r="AF36" s="105">
        <v>5029</v>
      </c>
      <c r="AG36" s="105">
        <v>1514</v>
      </c>
      <c r="AH36" s="106">
        <v>6543</v>
      </c>
      <c r="AI36" s="105"/>
      <c r="AJ36" s="107">
        <v>1887</v>
      </c>
      <c r="AK36" s="105">
        <v>1852</v>
      </c>
      <c r="AL36" s="105">
        <v>3739</v>
      </c>
      <c r="AM36" s="105">
        <v>1866</v>
      </c>
      <c r="AN36" s="105">
        <v>5605</v>
      </c>
      <c r="AO36" s="105">
        <v>1797</v>
      </c>
      <c r="AP36" s="106">
        <v>7402</v>
      </c>
      <c r="AQ36" s="105"/>
      <c r="AR36" s="107">
        <v>2092</v>
      </c>
      <c r="AS36" s="105">
        <v>2069</v>
      </c>
      <c r="AT36" s="105">
        <v>4161</v>
      </c>
      <c r="AU36" s="105">
        <v>2033</v>
      </c>
      <c r="AV36" s="105">
        <v>6194</v>
      </c>
      <c r="AW36" s="105">
        <v>1977</v>
      </c>
      <c r="AX36" s="106">
        <v>8171</v>
      </c>
      <c r="AY36" s="105"/>
      <c r="AZ36" s="107">
        <v>1251</v>
      </c>
      <c r="BA36" s="105">
        <v>2118</v>
      </c>
      <c r="BB36" s="105">
        <v>3369</v>
      </c>
      <c r="BC36" s="105">
        <v>2250</v>
      </c>
      <c r="BD36" s="105">
        <v>5619</v>
      </c>
      <c r="BE36" s="105">
        <v>2191</v>
      </c>
      <c r="BF36" s="106">
        <v>7810</v>
      </c>
      <c r="BG36" s="105"/>
      <c r="BH36" s="107">
        <v>1470</v>
      </c>
      <c r="BI36" s="105">
        <v>1431</v>
      </c>
      <c r="BJ36" s="105">
        <v>2901</v>
      </c>
      <c r="BK36" s="105">
        <v>1373</v>
      </c>
      <c r="BL36" s="105">
        <v>4274</v>
      </c>
      <c r="BM36" s="105">
        <v>1307</v>
      </c>
      <c r="BN36" s="106">
        <v>5581</v>
      </c>
      <c r="BO36" s="77"/>
      <c r="BP36" s="107">
        <v>1698</v>
      </c>
      <c r="BQ36" s="105">
        <v>1667</v>
      </c>
      <c r="BR36" s="105">
        <v>3365</v>
      </c>
      <c r="BS36" s="105">
        <v>1631</v>
      </c>
      <c r="BT36" s="105">
        <v>4996</v>
      </c>
      <c r="BU36" s="105">
        <v>1565</v>
      </c>
      <c r="BV36" s="106">
        <v>6561</v>
      </c>
      <c r="BW36" s="110"/>
      <c r="BX36" s="107">
        <v>1948</v>
      </c>
      <c r="BY36" s="105">
        <v>1910</v>
      </c>
      <c r="BZ36" s="105">
        <v>3858</v>
      </c>
      <c r="CA36" s="105">
        <v>1841</v>
      </c>
      <c r="CB36" s="105">
        <v>5699</v>
      </c>
      <c r="CC36" s="105">
        <v>1791</v>
      </c>
      <c r="CD36" s="106">
        <v>7490</v>
      </c>
      <c r="CE36" s="110"/>
      <c r="CF36" s="107">
        <v>1305</v>
      </c>
      <c r="CG36" s="105">
        <v>1256</v>
      </c>
      <c r="CH36" s="105">
        <v>2561</v>
      </c>
      <c r="CI36" s="105">
        <v>1217</v>
      </c>
      <c r="CJ36" s="105">
        <v>3778</v>
      </c>
      <c r="CK36" s="105">
        <v>1303</v>
      </c>
      <c r="CL36" s="106">
        <v>5081</v>
      </c>
      <c r="CM36" s="110"/>
      <c r="CN36" s="107">
        <v>1569</v>
      </c>
      <c r="CO36" s="105">
        <v>1520</v>
      </c>
      <c r="CP36" s="105">
        <v>3089</v>
      </c>
      <c r="CQ36" s="105">
        <v>1457</v>
      </c>
      <c r="CR36" s="105">
        <v>4546</v>
      </c>
      <c r="CS36" s="105">
        <v>1382</v>
      </c>
      <c r="CT36" s="106">
        <v>5928</v>
      </c>
      <c r="CU36" s="110"/>
      <c r="CV36" s="107">
        <v>654</v>
      </c>
      <c r="CW36" s="105">
        <v>726</v>
      </c>
      <c r="CX36" s="105">
        <v>1380</v>
      </c>
      <c r="CY36" s="105">
        <v>674</v>
      </c>
      <c r="CZ36" s="105">
        <v>2054</v>
      </c>
      <c r="DA36" s="105">
        <v>869</v>
      </c>
      <c r="DB36" s="106">
        <v>2923</v>
      </c>
      <c r="DC36" s="110"/>
      <c r="DD36" s="107">
        <v>961</v>
      </c>
      <c r="DE36" s="105">
        <v>844</v>
      </c>
      <c r="DF36" s="105">
        <v>1805</v>
      </c>
      <c r="DG36" s="105">
        <v>814</v>
      </c>
      <c r="DH36" s="105">
        <v>2619</v>
      </c>
      <c r="DI36" s="105">
        <v>763</v>
      </c>
      <c r="DJ36" s="106">
        <v>3382</v>
      </c>
      <c r="DK36" s="110"/>
      <c r="DL36" s="107">
        <v>1608</v>
      </c>
      <c r="DM36" s="105">
        <v>1282</v>
      </c>
      <c r="DN36" s="105">
        <v>2890</v>
      </c>
      <c r="DO36" s="105">
        <v>1212</v>
      </c>
      <c r="DP36" s="105">
        <v>4102</v>
      </c>
      <c r="DQ36" s="105">
        <v>1212</v>
      </c>
      <c r="DR36" s="106">
        <v>5314</v>
      </c>
      <c r="DS36" s="110"/>
      <c r="DT36" s="107">
        <v>973</v>
      </c>
      <c r="DU36" s="105">
        <v>917</v>
      </c>
      <c r="DV36" s="105">
        <v>1890</v>
      </c>
      <c r="DW36" s="105">
        <v>874</v>
      </c>
      <c r="DX36" s="105">
        <v>2764</v>
      </c>
      <c r="DY36" s="105">
        <v>1782</v>
      </c>
      <c r="DZ36" s="106">
        <v>4546</v>
      </c>
      <c r="EA36" s="110"/>
      <c r="EB36" s="107">
        <v>577</v>
      </c>
      <c r="EC36" s="105">
        <v>1107</v>
      </c>
      <c r="ED36" s="105">
        <v>1684</v>
      </c>
      <c r="EE36" s="105">
        <v>1040</v>
      </c>
      <c r="EF36" s="106">
        <v>2724</v>
      </c>
    </row>
    <row r="37" spans="1:136" ht="17.25" customHeight="1" outlineLevel="1" x14ac:dyDescent="0.4">
      <c r="A37" s="77" t="s">
        <v>21</v>
      </c>
      <c r="B37" s="112"/>
      <c r="C37" s="112"/>
      <c r="D37" s="111">
        <v>1107</v>
      </c>
      <c r="E37" s="461">
        <f t="shared" si="0"/>
        <v>822.32799999999997</v>
      </c>
      <c r="F37" s="461">
        <v>1929.328</v>
      </c>
      <c r="G37" s="461">
        <f t="shared" si="1"/>
        <v>670.67200000000003</v>
      </c>
      <c r="H37" s="461">
        <v>2600</v>
      </c>
      <c r="I37" s="461">
        <f t="shared" si="2"/>
        <v>1016</v>
      </c>
      <c r="J37" s="113">
        <v>3616</v>
      </c>
      <c r="K37" s="112"/>
      <c r="L37" s="111">
        <v>771</v>
      </c>
      <c r="M37" s="461">
        <v>683</v>
      </c>
      <c r="N37" s="461">
        <v>1454</v>
      </c>
      <c r="O37" s="461">
        <v>1093</v>
      </c>
      <c r="P37" s="461">
        <v>2547</v>
      </c>
      <c r="Q37" s="461">
        <f t="shared" si="3"/>
        <v>872</v>
      </c>
      <c r="R37" s="113">
        <v>3419</v>
      </c>
      <c r="S37" s="112"/>
      <c r="T37" s="111">
        <v>1427</v>
      </c>
      <c r="U37" s="461">
        <v>392</v>
      </c>
      <c r="V37" s="461">
        <v>1819</v>
      </c>
      <c r="W37" s="461">
        <v>1059</v>
      </c>
      <c r="X37" s="461">
        <v>2878</v>
      </c>
      <c r="Y37" s="461">
        <v>553</v>
      </c>
      <c r="Z37" s="113">
        <v>3431</v>
      </c>
      <c r="AA37" s="112"/>
      <c r="AB37" s="111">
        <v>1061</v>
      </c>
      <c r="AC37" s="112">
        <v>912</v>
      </c>
      <c r="AD37" s="112">
        <v>1973</v>
      </c>
      <c r="AE37" s="112">
        <v>961</v>
      </c>
      <c r="AF37" s="112">
        <v>2934</v>
      </c>
      <c r="AG37" s="112">
        <v>962</v>
      </c>
      <c r="AH37" s="113">
        <v>3896</v>
      </c>
      <c r="AI37" s="112"/>
      <c r="AJ37" s="111">
        <v>887</v>
      </c>
      <c r="AK37" s="112">
        <v>547</v>
      </c>
      <c r="AL37" s="112">
        <v>1434</v>
      </c>
      <c r="AM37" s="112">
        <v>1356</v>
      </c>
      <c r="AN37" s="112">
        <v>2790</v>
      </c>
      <c r="AO37" s="112">
        <v>946</v>
      </c>
      <c r="AP37" s="113">
        <v>3736</v>
      </c>
      <c r="AQ37" s="112"/>
      <c r="AR37" s="111">
        <v>580</v>
      </c>
      <c r="AS37" s="112">
        <v>854</v>
      </c>
      <c r="AT37" s="112">
        <v>1434</v>
      </c>
      <c r="AU37" s="112">
        <v>1321</v>
      </c>
      <c r="AV37" s="112">
        <v>2755</v>
      </c>
      <c r="AW37" s="112">
        <v>-5273</v>
      </c>
      <c r="AX37" s="113">
        <v>-2518</v>
      </c>
      <c r="AY37" s="112"/>
      <c r="AZ37" s="111">
        <v>1477</v>
      </c>
      <c r="BA37" s="112">
        <v>1169</v>
      </c>
      <c r="BB37" s="112">
        <v>2646</v>
      </c>
      <c r="BC37" s="112">
        <v>1200</v>
      </c>
      <c r="BD37" s="112">
        <v>3846</v>
      </c>
      <c r="BE37" s="112">
        <v>1174</v>
      </c>
      <c r="BF37" s="113">
        <v>5020</v>
      </c>
      <c r="BG37" s="112"/>
      <c r="BH37" s="111">
        <v>1419</v>
      </c>
      <c r="BI37" s="112">
        <v>1811</v>
      </c>
      <c r="BJ37" s="112">
        <v>3230</v>
      </c>
      <c r="BK37" s="112">
        <v>1668</v>
      </c>
      <c r="BL37" s="112">
        <v>4898</v>
      </c>
      <c r="BM37" s="112">
        <v>1387</v>
      </c>
      <c r="BN37" s="113">
        <v>6285</v>
      </c>
      <c r="BO37" s="77"/>
      <c r="BP37" s="111">
        <v>1171</v>
      </c>
      <c r="BQ37" s="112">
        <v>1029</v>
      </c>
      <c r="BR37" s="112">
        <v>2200</v>
      </c>
      <c r="BS37" s="112">
        <v>1441</v>
      </c>
      <c r="BT37" s="112">
        <v>3641</v>
      </c>
      <c r="BU37" s="112">
        <v>765</v>
      </c>
      <c r="BV37" s="113">
        <v>4406</v>
      </c>
      <c r="BW37" s="110"/>
      <c r="BX37" s="111">
        <v>1686</v>
      </c>
      <c r="BY37" s="112">
        <v>1356</v>
      </c>
      <c r="BZ37" s="112">
        <v>3042</v>
      </c>
      <c r="CA37" s="112">
        <v>1536</v>
      </c>
      <c r="CB37" s="112">
        <v>4578</v>
      </c>
      <c r="CC37" s="112">
        <v>1103</v>
      </c>
      <c r="CD37" s="113">
        <v>5681</v>
      </c>
      <c r="CE37" s="110"/>
      <c r="CF37" s="111">
        <v>1625</v>
      </c>
      <c r="CG37" s="112">
        <v>1591</v>
      </c>
      <c r="CH37" s="112">
        <v>3216</v>
      </c>
      <c r="CI37" s="112">
        <v>1653</v>
      </c>
      <c r="CJ37" s="112">
        <v>4869</v>
      </c>
      <c r="CK37" s="112">
        <v>1685</v>
      </c>
      <c r="CL37" s="113">
        <v>6554</v>
      </c>
      <c r="CM37" s="110"/>
      <c r="CN37" s="111">
        <v>2069</v>
      </c>
      <c r="CO37" s="112">
        <v>1630</v>
      </c>
      <c r="CP37" s="112">
        <v>3699</v>
      </c>
      <c r="CQ37" s="112">
        <v>1795</v>
      </c>
      <c r="CR37" s="112">
        <v>5494</v>
      </c>
      <c r="CS37" s="112">
        <v>1659</v>
      </c>
      <c r="CT37" s="113">
        <v>7153</v>
      </c>
      <c r="CU37" s="110"/>
      <c r="CV37" s="111">
        <v>88</v>
      </c>
      <c r="CW37" s="112">
        <v>1862</v>
      </c>
      <c r="CX37" s="112">
        <v>1950</v>
      </c>
      <c r="CY37" s="112">
        <v>1944</v>
      </c>
      <c r="CZ37" s="112">
        <v>3894</v>
      </c>
      <c r="DA37" s="112">
        <v>1943</v>
      </c>
      <c r="DB37" s="113">
        <v>5837</v>
      </c>
      <c r="DC37" s="110"/>
      <c r="DD37" s="111">
        <v>928</v>
      </c>
      <c r="DE37" s="112">
        <v>1243</v>
      </c>
      <c r="DF37" s="112">
        <v>2171</v>
      </c>
      <c r="DG37" s="112">
        <v>967</v>
      </c>
      <c r="DH37" s="112">
        <v>3138</v>
      </c>
      <c r="DI37" s="112">
        <v>1715</v>
      </c>
      <c r="DJ37" s="113">
        <v>4853</v>
      </c>
      <c r="DK37" s="110"/>
      <c r="DL37" s="111">
        <v>955</v>
      </c>
      <c r="DM37" s="112">
        <v>1236</v>
      </c>
      <c r="DN37" s="112">
        <v>2191</v>
      </c>
      <c r="DO37" s="112">
        <v>1102</v>
      </c>
      <c r="DP37" s="112">
        <v>3293</v>
      </c>
      <c r="DQ37" s="112">
        <v>984</v>
      </c>
      <c r="DR37" s="113">
        <v>4277</v>
      </c>
      <c r="DS37" s="110"/>
      <c r="DT37" s="111">
        <v>1538</v>
      </c>
      <c r="DU37" s="112">
        <v>1159</v>
      </c>
      <c r="DV37" s="112">
        <v>2697</v>
      </c>
      <c r="DW37" s="112">
        <v>1196</v>
      </c>
      <c r="DX37" s="112">
        <v>3893</v>
      </c>
      <c r="DY37" s="112">
        <v>814</v>
      </c>
      <c r="DZ37" s="113">
        <v>4707</v>
      </c>
      <c r="EA37" s="110"/>
      <c r="EB37" s="111">
        <v>352</v>
      </c>
      <c r="EC37" s="112">
        <v>813</v>
      </c>
      <c r="ED37" s="112">
        <v>1165</v>
      </c>
      <c r="EE37" s="112">
        <v>266</v>
      </c>
      <c r="EF37" s="113">
        <v>1431</v>
      </c>
    </row>
    <row r="38" spans="1:136" s="100" customFormat="1" x14ac:dyDescent="0.25">
      <c r="A38" s="89" t="s">
        <v>24</v>
      </c>
      <c r="B38" s="103"/>
      <c r="C38" s="103"/>
      <c r="D38" s="108">
        <v>3692</v>
      </c>
      <c r="E38" s="442">
        <f t="shared" si="0"/>
        <v>3392</v>
      </c>
      <c r="F38" s="442">
        <v>7084</v>
      </c>
      <c r="G38" s="442">
        <f t="shared" si="1"/>
        <v>2426</v>
      </c>
      <c r="H38" s="442">
        <v>9510</v>
      </c>
      <c r="I38" s="442">
        <f t="shared" si="2"/>
        <v>3445</v>
      </c>
      <c r="J38" s="104">
        <v>12955</v>
      </c>
      <c r="K38" s="103"/>
      <c r="L38" s="108">
        <v>2813</v>
      </c>
      <c r="M38" s="442">
        <v>3732</v>
      </c>
      <c r="N38" s="442">
        <v>6545</v>
      </c>
      <c r="O38" s="442">
        <v>3821</v>
      </c>
      <c r="P38" s="442">
        <v>10366</v>
      </c>
      <c r="Q38" s="442">
        <f t="shared" si="3"/>
        <v>3812</v>
      </c>
      <c r="R38" s="104">
        <v>14178</v>
      </c>
      <c r="S38" s="103"/>
      <c r="T38" s="108">
        <v>2821</v>
      </c>
      <c r="U38" s="442">
        <v>4491</v>
      </c>
      <c r="V38" s="442">
        <v>7312</v>
      </c>
      <c r="W38" s="442">
        <v>3668</v>
      </c>
      <c r="X38" s="442">
        <v>10980</v>
      </c>
      <c r="Y38" s="442">
        <v>2190</v>
      </c>
      <c r="Z38" s="104">
        <v>13170</v>
      </c>
      <c r="AA38" s="103"/>
      <c r="AB38" s="108">
        <v>3704</v>
      </c>
      <c r="AC38" s="103">
        <v>3874</v>
      </c>
      <c r="AD38" s="103">
        <v>7578</v>
      </c>
      <c r="AE38" s="103">
        <v>3457</v>
      </c>
      <c r="AF38" s="103">
        <v>11035</v>
      </c>
      <c r="AG38" s="103">
        <v>3935</v>
      </c>
      <c r="AH38" s="104">
        <v>14970</v>
      </c>
      <c r="AI38" s="103"/>
      <c r="AJ38" s="108">
        <v>3118</v>
      </c>
      <c r="AK38" s="103">
        <v>3851</v>
      </c>
      <c r="AL38" s="103">
        <v>6969</v>
      </c>
      <c r="AM38" s="103">
        <v>3677</v>
      </c>
      <c r="AN38" s="103">
        <v>10646</v>
      </c>
      <c r="AO38" s="103">
        <v>4383</v>
      </c>
      <c r="AP38" s="104">
        <v>15029</v>
      </c>
      <c r="AQ38" s="103"/>
      <c r="AR38" s="108">
        <v>2885</v>
      </c>
      <c r="AS38" s="103">
        <v>3189</v>
      </c>
      <c r="AT38" s="103">
        <v>6074</v>
      </c>
      <c r="AU38" s="103">
        <v>2765</v>
      </c>
      <c r="AV38" s="103">
        <v>8839</v>
      </c>
      <c r="AW38" s="103">
        <v>8664</v>
      </c>
      <c r="AX38" s="104">
        <v>17503</v>
      </c>
      <c r="AY38" s="103"/>
      <c r="AZ38" s="108">
        <v>3063</v>
      </c>
      <c r="BA38" s="103">
        <v>2058</v>
      </c>
      <c r="BB38" s="103">
        <v>5121</v>
      </c>
      <c r="BC38" s="103">
        <v>2176</v>
      </c>
      <c r="BD38" s="103">
        <v>7297</v>
      </c>
      <c r="BE38" s="103">
        <v>1997</v>
      </c>
      <c r="BF38" s="104">
        <v>9294</v>
      </c>
      <c r="BG38" s="103"/>
      <c r="BH38" s="108">
        <v>2729</v>
      </c>
      <c r="BI38" s="103">
        <v>3421</v>
      </c>
      <c r="BJ38" s="103">
        <v>6150</v>
      </c>
      <c r="BK38" s="103">
        <v>3143</v>
      </c>
      <c r="BL38" s="103">
        <v>9293</v>
      </c>
      <c r="BM38" s="103">
        <v>2575</v>
      </c>
      <c r="BN38" s="104">
        <v>11868</v>
      </c>
      <c r="BO38" s="89"/>
      <c r="BP38" s="108">
        <v>2439</v>
      </c>
      <c r="BQ38" s="103">
        <v>2389</v>
      </c>
      <c r="BR38" s="103">
        <v>4828</v>
      </c>
      <c r="BS38" s="103">
        <v>2650</v>
      </c>
      <c r="BT38" s="103">
        <v>7478</v>
      </c>
      <c r="BU38" s="103">
        <v>3623</v>
      </c>
      <c r="BV38" s="104">
        <v>11101</v>
      </c>
      <c r="BW38" s="109"/>
      <c r="BX38" s="108">
        <v>2136</v>
      </c>
      <c r="BY38" s="103">
        <v>2808</v>
      </c>
      <c r="BZ38" s="103">
        <v>4944</v>
      </c>
      <c r="CA38" s="103">
        <v>2158</v>
      </c>
      <c r="CB38" s="103">
        <v>7102</v>
      </c>
      <c r="CC38" s="103">
        <v>2065</v>
      </c>
      <c r="CD38" s="104">
        <v>9167</v>
      </c>
      <c r="CE38" s="109"/>
      <c r="CF38" s="108">
        <v>3135</v>
      </c>
      <c r="CG38" s="103">
        <v>2972</v>
      </c>
      <c r="CH38" s="103">
        <v>6107</v>
      </c>
      <c r="CI38" s="103">
        <v>3303</v>
      </c>
      <c r="CJ38" s="103">
        <v>9410</v>
      </c>
      <c r="CK38" s="103">
        <v>2559</v>
      </c>
      <c r="CL38" s="104">
        <v>11969</v>
      </c>
      <c r="CM38" s="109"/>
      <c r="CN38" s="108">
        <v>3353</v>
      </c>
      <c r="CO38" s="103">
        <v>3573</v>
      </c>
      <c r="CP38" s="103">
        <v>6926</v>
      </c>
      <c r="CQ38" s="103">
        <v>3354</v>
      </c>
      <c r="CR38" s="103">
        <v>10280</v>
      </c>
      <c r="CS38" s="103">
        <v>2934</v>
      </c>
      <c r="CT38" s="104">
        <v>13214</v>
      </c>
      <c r="CU38" s="109"/>
      <c r="CV38" s="108">
        <v>169</v>
      </c>
      <c r="CW38" s="103">
        <v>3609</v>
      </c>
      <c r="CX38" s="103">
        <v>3778</v>
      </c>
      <c r="CY38" s="103">
        <v>3828</v>
      </c>
      <c r="CZ38" s="103">
        <v>7606</v>
      </c>
      <c r="DA38" s="103">
        <v>3526</v>
      </c>
      <c r="DB38" s="104">
        <v>11132</v>
      </c>
      <c r="DC38" s="109"/>
      <c r="DD38" s="108">
        <v>1704</v>
      </c>
      <c r="DE38" s="103">
        <v>2255</v>
      </c>
      <c r="DF38" s="103">
        <v>3959</v>
      </c>
      <c r="DG38" s="103">
        <v>1824</v>
      </c>
      <c r="DH38" s="103">
        <v>5783</v>
      </c>
      <c r="DI38" s="103">
        <v>3243</v>
      </c>
      <c r="DJ38" s="104">
        <v>9026</v>
      </c>
      <c r="DK38" s="109"/>
      <c r="DL38" s="108">
        <v>2188</v>
      </c>
      <c r="DM38" s="103">
        <v>1891</v>
      </c>
      <c r="DN38" s="103">
        <v>4079</v>
      </c>
      <c r="DO38" s="103">
        <v>2288</v>
      </c>
      <c r="DP38" s="103">
        <v>6367</v>
      </c>
      <c r="DQ38" s="103">
        <v>1573</v>
      </c>
      <c r="DR38" s="104">
        <v>7940</v>
      </c>
      <c r="DS38" s="109"/>
      <c r="DT38" s="108">
        <v>2772</v>
      </c>
      <c r="DU38" s="103">
        <v>2070</v>
      </c>
      <c r="DV38" s="103">
        <v>4842</v>
      </c>
      <c r="DW38" s="103">
        <v>2159</v>
      </c>
      <c r="DX38" s="103">
        <v>7001</v>
      </c>
      <c r="DY38" s="103">
        <v>1087</v>
      </c>
      <c r="DZ38" s="104">
        <v>8088</v>
      </c>
      <c r="EA38" s="109"/>
      <c r="EB38" s="108">
        <v>1003</v>
      </c>
      <c r="EC38" s="103">
        <v>1987</v>
      </c>
      <c r="ED38" s="103">
        <v>2990</v>
      </c>
      <c r="EE38" s="103">
        <v>722</v>
      </c>
      <c r="EF38" s="104">
        <v>3712</v>
      </c>
    </row>
    <row r="39" spans="1:136" ht="15" customHeight="1" outlineLevel="1" x14ac:dyDescent="0.25">
      <c r="A39" s="115" t="s">
        <v>54</v>
      </c>
      <c r="B39" s="105"/>
      <c r="C39" s="105"/>
      <c r="D39" s="107"/>
      <c r="E39" s="441">
        <f t="shared" si="0"/>
        <v>0</v>
      </c>
      <c r="F39" s="462">
        <v>0</v>
      </c>
      <c r="G39" s="462"/>
      <c r="H39" s="462"/>
      <c r="I39" s="462">
        <f t="shared" si="2"/>
        <v>0</v>
      </c>
      <c r="J39" s="117">
        <v>0</v>
      </c>
      <c r="K39" s="105"/>
      <c r="L39" s="107"/>
      <c r="M39" s="441"/>
      <c r="N39" s="441"/>
      <c r="O39" s="441"/>
      <c r="P39" s="462"/>
      <c r="Q39" s="462"/>
      <c r="R39" s="117"/>
      <c r="S39" s="105"/>
      <c r="T39" s="107"/>
      <c r="U39" s="441"/>
      <c r="V39" s="462"/>
      <c r="W39" s="441"/>
      <c r="X39" s="462"/>
      <c r="Y39" s="441"/>
      <c r="Z39" s="117"/>
      <c r="AA39" s="105"/>
      <c r="AB39" s="107"/>
      <c r="AC39" s="105"/>
      <c r="AD39" s="116"/>
      <c r="AE39" s="105"/>
      <c r="AF39" s="105"/>
      <c r="AG39" s="105"/>
      <c r="AH39" s="117"/>
      <c r="AI39" s="105"/>
      <c r="AJ39" s="107"/>
      <c r="AK39" s="105"/>
      <c r="AL39" s="116"/>
      <c r="AM39" s="105"/>
      <c r="AN39" s="105"/>
      <c r="AO39" s="105"/>
      <c r="AP39" s="117"/>
      <c r="AQ39" s="105"/>
      <c r="AR39" s="107"/>
      <c r="AS39" s="105"/>
      <c r="AT39" s="116"/>
      <c r="AU39" s="105"/>
      <c r="AV39" s="105"/>
      <c r="AW39" s="105"/>
      <c r="AX39" s="117"/>
      <c r="AY39" s="105"/>
      <c r="AZ39" s="107"/>
      <c r="BA39" s="105"/>
      <c r="BB39" s="116"/>
      <c r="BC39" s="105"/>
      <c r="BD39" s="105"/>
      <c r="BE39" s="105">
        <v>0</v>
      </c>
      <c r="BF39" s="117"/>
      <c r="BG39" s="105"/>
      <c r="BH39" s="107"/>
      <c r="BI39" s="105"/>
      <c r="BJ39" s="116"/>
      <c r="BK39" s="105"/>
      <c r="BL39" s="105"/>
      <c r="BM39" s="105"/>
      <c r="BN39" s="117"/>
      <c r="BO39" s="115"/>
      <c r="BP39" s="107"/>
      <c r="BQ39" s="105"/>
      <c r="BR39" s="116"/>
      <c r="BS39" s="105"/>
      <c r="BT39" s="105"/>
      <c r="BU39" s="105"/>
      <c r="BV39" s="117"/>
      <c r="BW39" s="77"/>
      <c r="BX39" s="107"/>
      <c r="BY39" s="105"/>
      <c r="BZ39" s="116"/>
      <c r="CA39" s="105"/>
      <c r="CB39" s="105"/>
      <c r="CC39" s="105"/>
      <c r="CD39" s="117"/>
      <c r="CE39" s="77"/>
      <c r="CF39" s="107"/>
      <c r="CG39" s="105"/>
      <c r="CH39" s="116"/>
      <c r="CI39" s="105"/>
      <c r="CJ39" s="105"/>
      <c r="CK39" s="105"/>
      <c r="CL39" s="117"/>
      <c r="CM39" s="77"/>
      <c r="CN39" s="107"/>
      <c r="CO39" s="105"/>
      <c r="CP39" s="116"/>
      <c r="CQ39" s="105"/>
      <c r="CR39" s="105"/>
      <c r="CS39" s="105"/>
      <c r="CT39" s="117"/>
      <c r="CU39" s="77"/>
      <c r="CV39" s="107"/>
      <c r="CW39" s="105"/>
      <c r="CX39" s="116"/>
      <c r="CY39" s="105"/>
      <c r="CZ39" s="105"/>
      <c r="DA39" s="105"/>
      <c r="DB39" s="117"/>
      <c r="DC39" s="77"/>
      <c r="DD39" s="107"/>
      <c r="DE39" s="105"/>
      <c r="DF39" s="116"/>
      <c r="DG39" s="105"/>
      <c r="DH39" s="105"/>
      <c r="DI39" s="105"/>
      <c r="DJ39" s="117"/>
      <c r="DK39" s="77"/>
      <c r="DL39" s="107"/>
      <c r="DM39" s="105"/>
      <c r="DN39" s="116"/>
      <c r="DO39" s="105"/>
      <c r="DP39" s="105"/>
      <c r="DQ39" s="105"/>
      <c r="DR39" s="117"/>
      <c r="DS39" s="77"/>
      <c r="DT39" s="107"/>
      <c r="DU39" s="105"/>
      <c r="DV39" s="116"/>
      <c r="DW39" s="105"/>
      <c r="DX39" s="105"/>
      <c r="DY39" s="105"/>
      <c r="DZ39" s="117"/>
      <c r="EA39" s="77"/>
      <c r="EB39" s="170"/>
      <c r="EC39" s="105"/>
      <c r="ED39" s="105"/>
      <c r="EE39" s="105"/>
      <c r="EF39" s="117"/>
    </row>
    <row r="40" spans="1:136" ht="15" customHeight="1" outlineLevel="1" x14ac:dyDescent="0.25">
      <c r="A40" s="77" t="s">
        <v>21</v>
      </c>
      <c r="B40" s="105"/>
      <c r="C40" s="105"/>
      <c r="D40" s="107">
        <v>1107</v>
      </c>
      <c r="E40" s="441">
        <f t="shared" si="0"/>
        <v>822.32799999999997</v>
      </c>
      <c r="F40" s="441">
        <v>1929.328</v>
      </c>
      <c r="G40" s="441">
        <f t="shared" si="1"/>
        <v>670.67200000000003</v>
      </c>
      <c r="H40" s="441">
        <v>2600</v>
      </c>
      <c r="I40" s="441">
        <f t="shared" si="2"/>
        <v>1016</v>
      </c>
      <c r="J40" s="106">
        <v>3616</v>
      </c>
      <c r="K40" s="105"/>
      <c r="L40" s="107">
        <v>771</v>
      </c>
      <c r="M40" s="441">
        <v>683</v>
      </c>
      <c r="N40" s="441">
        <v>1454</v>
      </c>
      <c r="O40" s="441">
        <v>1093</v>
      </c>
      <c r="P40" s="441">
        <v>2547</v>
      </c>
      <c r="Q40" s="441">
        <f t="shared" si="3"/>
        <v>872</v>
      </c>
      <c r="R40" s="106">
        <v>3419</v>
      </c>
      <c r="S40" s="105"/>
      <c r="T40" s="107">
        <v>1427</v>
      </c>
      <c r="U40" s="441">
        <v>392</v>
      </c>
      <c r="V40" s="441">
        <v>1819</v>
      </c>
      <c r="W40" s="441">
        <v>1059</v>
      </c>
      <c r="X40" s="441">
        <v>2878</v>
      </c>
      <c r="Y40" s="441">
        <v>553</v>
      </c>
      <c r="Z40" s="106">
        <v>3431</v>
      </c>
      <c r="AA40" s="105"/>
      <c r="AB40" s="107">
        <v>1061</v>
      </c>
      <c r="AC40" s="105">
        <v>912</v>
      </c>
      <c r="AD40" s="105">
        <v>1973</v>
      </c>
      <c r="AE40" s="105">
        <v>961</v>
      </c>
      <c r="AF40" s="105">
        <v>2934</v>
      </c>
      <c r="AG40" s="105">
        <v>962</v>
      </c>
      <c r="AH40" s="106">
        <v>3896</v>
      </c>
      <c r="AI40" s="105"/>
      <c r="AJ40" s="107">
        <v>887</v>
      </c>
      <c r="AK40" s="105">
        <v>547</v>
      </c>
      <c r="AL40" s="105">
        <v>1434</v>
      </c>
      <c r="AM40" s="105">
        <v>1356</v>
      </c>
      <c r="AN40" s="105">
        <v>2790</v>
      </c>
      <c r="AO40" s="105">
        <v>946</v>
      </c>
      <c r="AP40" s="106">
        <v>3736</v>
      </c>
      <c r="AQ40" s="105"/>
      <c r="AR40" s="107">
        <v>580</v>
      </c>
      <c r="AS40" s="105">
        <v>854</v>
      </c>
      <c r="AT40" s="105">
        <v>1434</v>
      </c>
      <c r="AU40" s="105">
        <v>1321</v>
      </c>
      <c r="AV40" s="105">
        <v>2755</v>
      </c>
      <c r="AW40" s="105">
        <v>-5273</v>
      </c>
      <c r="AX40" s="106">
        <v>-2518</v>
      </c>
      <c r="AY40" s="105"/>
      <c r="AZ40" s="107">
        <v>1477</v>
      </c>
      <c r="BA40" s="105">
        <v>1169</v>
      </c>
      <c r="BB40" s="105">
        <v>2646</v>
      </c>
      <c r="BC40" s="105">
        <v>1200</v>
      </c>
      <c r="BD40" s="105">
        <v>3846</v>
      </c>
      <c r="BE40" s="105">
        <v>1174</v>
      </c>
      <c r="BF40" s="106">
        <v>5020</v>
      </c>
      <c r="BG40" s="105"/>
      <c r="BH40" s="107">
        <v>1419</v>
      </c>
      <c r="BI40" s="105">
        <v>1811</v>
      </c>
      <c r="BJ40" s="105">
        <v>3230</v>
      </c>
      <c r="BK40" s="105">
        <v>1668</v>
      </c>
      <c r="BL40" s="105">
        <v>4898</v>
      </c>
      <c r="BM40" s="105">
        <v>1387</v>
      </c>
      <c r="BN40" s="106">
        <v>6285</v>
      </c>
      <c r="BO40" s="77"/>
      <c r="BP40" s="107">
        <v>1171</v>
      </c>
      <c r="BQ40" s="105">
        <v>1029</v>
      </c>
      <c r="BR40" s="105">
        <v>2200</v>
      </c>
      <c r="BS40" s="105">
        <v>1441</v>
      </c>
      <c r="BT40" s="105">
        <v>3641</v>
      </c>
      <c r="BU40" s="105">
        <v>765</v>
      </c>
      <c r="BV40" s="106">
        <v>4406</v>
      </c>
      <c r="BW40" s="110"/>
      <c r="BX40" s="107">
        <v>1686</v>
      </c>
      <c r="BY40" s="105">
        <v>1356</v>
      </c>
      <c r="BZ40" s="105">
        <v>3042</v>
      </c>
      <c r="CA40" s="105">
        <v>1536</v>
      </c>
      <c r="CB40" s="105">
        <v>4578</v>
      </c>
      <c r="CC40" s="105">
        <v>1103</v>
      </c>
      <c r="CD40" s="106">
        <v>5681</v>
      </c>
      <c r="CE40" s="110"/>
      <c r="CF40" s="107">
        <v>1625</v>
      </c>
      <c r="CG40" s="105">
        <v>1591</v>
      </c>
      <c r="CH40" s="105">
        <v>3216</v>
      </c>
      <c r="CI40" s="105">
        <v>1653</v>
      </c>
      <c r="CJ40" s="105">
        <v>4869</v>
      </c>
      <c r="CK40" s="105">
        <v>1685</v>
      </c>
      <c r="CL40" s="106">
        <v>6554</v>
      </c>
      <c r="CM40" s="110"/>
      <c r="CN40" s="107">
        <v>2068</v>
      </c>
      <c r="CO40" s="105">
        <v>1631</v>
      </c>
      <c r="CP40" s="105">
        <v>3699</v>
      </c>
      <c r="CQ40" s="105">
        <v>1795</v>
      </c>
      <c r="CR40" s="105">
        <v>5494</v>
      </c>
      <c r="CS40" s="105">
        <v>1659</v>
      </c>
      <c r="CT40" s="106">
        <v>7153</v>
      </c>
      <c r="CU40" s="110"/>
      <c r="CV40" s="107">
        <v>88</v>
      </c>
      <c r="CW40" s="105">
        <v>1862</v>
      </c>
      <c r="CX40" s="105">
        <v>1950</v>
      </c>
      <c r="CY40" s="105">
        <v>1944</v>
      </c>
      <c r="CZ40" s="105">
        <v>3894</v>
      </c>
      <c r="DA40" s="105">
        <v>1943</v>
      </c>
      <c r="DB40" s="106">
        <v>5837</v>
      </c>
      <c r="DC40" s="110"/>
      <c r="DD40" s="107">
        <v>928</v>
      </c>
      <c r="DE40" s="105">
        <v>1243</v>
      </c>
      <c r="DF40" s="105">
        <v>2171</v>
      </c>
      <c r="DG40" s="105">
        <v>967</v>
      </c>
      <c r="DH40" s="105">
        <v>3138</v>
      </c>
      <c r="DI40" s="105">
        <v>1715</v>
      </c>
      <c r="DJ40" s="106">
        <v>4853</v>
      </c>
      <c r="DK40" s="110"/>
      <c r="DL40" s="107">
        <v>955</v>
      </c>
      <c r="DM40" s="105">
        <v>1236</v>
      </c>
      <c r="DN40" s="105">
        <v>2191</v>
      </c>
      <c r="DO40" s="105">
        <v>1102</v>
      </c>
      <c r="DP40" s="105">
        <v>3293</v>
      </c>
      <c r="DQ40" s="105">
        <v>984</v>
      </c>
      <c r="DR40" s="106">
        <v>4277</v>
      </c>
      <c r="DS40" s="110"/>
      <c r="DT40" s="107">
        <v>1538</v>
      </c>
      <c r="DU40" s="105">
        <v>1159</v>
      </c>
      <c r="DV40" s="105">
        <v>2697</v>
      </c>
      <c r="DW40" s="105">
        <v>1196</v>
      </c>
      <c r="DX40" s="105">
        <v>3893</v>
      </c>
      <c r="DY40" s="105">
        <v>814</v>
      </c>
      <c r="DZ40" s="106">
        <v>4707</v>
      </c>
      <c r="EA40" s="110"/>
      <c r="EB40" s="107">
        <v>352</v>
      </c>
      <c r="EC40" s="105">
        <v>813</v>
      </c>
      <c r="ED40" s="105">
        <v>1165</v>
      </c>
      <c r="EE40" s="105">
        <v>266</v>
      </c>
      <c r="EF40" s="106">
        <v>1431</v>
      </c>
    </row>
    <row r="41" spans="1:136" ht="15" customHeight="1" outlineLevel="1" x14ac:dyDescent="0.25">
      <c r="A41" s="77" t="s">
        <v>19</v>
      </c>
      <c r="B41" s="105"/>
      <c r="C41" s="105"/>
      <c r="D41" s="107">
        <v>0</v>
      </c>
      <c r="E41" s="441">
        <f t="shared" si="0"/>
        <v>-6.7000000000000004E-2</v>
      </c>
      <c r="F41" s="441">
        <v>-6.7000000000000004E-2</v>
      </c>
      <c r="G41" s="441">
        <f t="shared" si="1"/>
        <v>6.7000000000000004E-2</v>
      </c>
      <c r="H41" s="441">
        <v>0</v>
      </c>
      <c r="I41" s="441">
        <f t="shared" si="2"/>
        <v>0</v>
      </c>
      <c r="J41" s="106">
        <v>0</v>
      </c>
      <c r="K41" s="105"/>
      <c r="L41" s="107">
        <v>0</v>
      </c>
      <c r="M41" s="441">
        <v>0</v>
      </c>
      <c r="N41" s="441">
        <v>0</v>
      </c>
      <c r="O41" s="441">
        <v>0</v>
      </c>
      <c r="P41" s="441">
        <v>0</v>
      </c>
      <c r="Q41" s="441">
        <f t="shared" si="3"/>
        <v>0</v>
      </c>
      <c r="R41" s="106">
        <v>0</v>
      </c>
      <c r="S41" s="105"/>
      <c r="T41" s="107">
        <v>0</v>
      </c>
      <c r="U41" s="441">
        <v>0</v>
      </c>
      <c r="V41" s="441">
        <v>0</v>
      </c>
      <c r="W41" s="441">
        <v>0</v>
      </c>
      <c r="X41" s="441">
        <v>0</v>
      </c>
      <c r="Y41" s="441">
        <v>0</v>
      </c>
      <c r="Z41" s="106">
        <v>0</v>
      </c>
      <c r="AA41" s="105"/>
      <c r="AB41" s="107">
        <v>-1</v>
      </c>
      <c r="AC41" s="105">
        <v>1</v>
      </c>
      <c r="AD41" s="105">
        <v>0</v>
      </c>
      <c r="AE41" s="105">
        <v>-1</v>
      </c>
      <c r="AF41" s="105">
        <v>-1</v>
      </c>
      <c r="AG41" s="105">
        <v>-1</v>
      </c>
      <c r="AH41" s="106">
        <v>-2</v>
      </c>
      <c r="AI41" s="105"/>
      <c r="AJ41" s="107">
        <v>0</v>
      </c>
      <c r="AK41" s="105">
        <v>-1</v>
      </c>
      <c r="AL41" s="105">
        <v>-1</v>
      </c>
      <c r="AM41" s="105">
        <v>-1</v>
      </c>
      <c r="AN41" s="105">
        <v>-2</v>
      </c>
      <c r="AO41" s="105">
        <v>-44</v>
      </c>
      <c r="AP41" s="106">
        <v>-46</v>
      </c>
      <c r="AQ41" s="105"/>
      <c r="AR41" s="107">
        <v>0</v>
      </c>
      <c r="AS41" s="105">
        <v>-11</v>
      </c>
      <c r="AT41" s="105">
        <v>-11</v>
      </c>
      <c r="AU41" s="105">
        <v>0</v>
      </c>
      <c r="AV41" s="105">
        <v>-11</v>
      </c>
      <c r="AW41" s="105">
        <v>-1</v>
      </c>
      <c r="AX41" s="106">
        <v>-12</v>
      </c>
      <c r="AY41" s="105"/>
      <c r="AZ41" s="107">
        <v>0</v>
      </c>
      <c r="BA41" s="105">
        <v>0</v>
      </c>
      <c r="BB41" s="105">
        <v>0</v>
      </c>
      <c r="BC41" s="105">
        <v>0</v>
      </c>
      <c r="BD41" s="105">
        <v>0</v>
      </c>
      <c r="BE41" s="105">
        <v>0</v>
      </c>
      <c r="BF41" s="106">
        <v>0</v>
      </c>
      <c r="BG41" s="105"/>
      <c r="BH41" s="107">
        <v>0</v>
      </c>
      <c r="BI41" s="105">
        <v>-1</v>
      </c>
      <c r="BJ41" s="105">
        <v>-1</v>
      </c>
      <c r="BK41" s="105">
        <v>0</v>
      </c>
      <c r="BL41" s="105">
        <v>-1</v>
      </c>
      <c r="BM41" s="105">
        <v>-1</v>
      </c>
      <c r="BN41" s="106">
        <v>-2</v>
      </c>
      <c r="BO41" s="77"/>
      <c r="BP41" s="107">
        <v>0</v>
      </c>
      <c r="BQ41" s="105">
        <v>-1</v>
      </c>
      <c r="BR41" s="105">
        <v>-1</v>
      </c>
      <c r="BS41" s="105">
        <v>0</v>
      </c>
      <c r="BT41" s="105">
        <v>-1</v>
      </c>
      <c r="BU41" s="105">
        <v>-1</v>
      </c>
      <c r="BV41" s="106">
        <v>-2</v>
      </c>
      <c r="BW41" s="110"/>
      <c r="BX41" s="107">
        <v>0</v>
      </c>
      <c r="BY41" s="105">
        <v>-1</v>
      </c>
      <c r="BZ41" s="105">
        <v>-1</v>
      </c>
      <c r="CA41" s="105">
        <v>0</v>
      </c>
      <c r="CB41" s="105">
        <v>-1</v>
      </c>
      <c r="CC41" s="105">
        <v>-1</v>
      </c>
      <c r="CD41" s="106">
        <v>-2</v>
      </c>
      <c r="CE41" s="110"/>
      <c r="CF41" s="107">
        <v>0</v>
      </c>
      <c r="CG41" s="105">
        <v>-1</v>
      </c>
      <c r="CH41" s="105">
        <v>-1</v>
      </c>
      <c r="CI41" s="105">
        <v>0</v>
      </c>
      <c r="CJ41" s="105">
        <v>-1</v>
      </c>
      <c r="CK41" s="105">
        <v>-1</v>
      </c>
      <c r="CL41" s="106">
        <v>-2</v>
      </c>
      <c r="CM41" s="110"/>
      <c r="CN41" s="107">
        <v>-1</v>
      </c>
      <c r="CO41" s="105">
        <v>0</v>
      </c>
      <c r="CP41" s="105">
        <v>-1</v>
      </c>
      <c r="CQ41" s="105">
        <v>-1</v>
      </c>
      <c r="CR41" s="105">
        <v>-2</v>
      </c>
      <c r="CS41" s="105">
        <v>0</v>
      </c>
      <c r="CT41" s="106">
        <v>-2</v>
      </c>
      <c r="CU41" s="110"/>
      <c r="CV41" s="107">
        <v>-1</v>
      </c>
      <c r="CW41" s="105">
        <v>0</v>
      </c>
      <c r="CX41" s="105">
        <v>-1</v>
      </c>
      <c r="CY41" s="105">
        <v>0</v>
      </c>
      <c r="CZ41" s="105">
        <v>-1</v>
      </c>
      <c r="DA41" s="105">
        <v>-2</v>
      </c>
      <c r="DB41" s="106">
        <v>-3</v>
      </c>
      <c r="DC41" s="110"/>
      <c r="DD41" s="107">
        <v>-1</v>
      </c>
      <c r="DE41" s="105">
        <v>-1</v>
      </c>
      <c r="DF41" s="105">
        <v>-2</v>
      </c>
      <c r="DG41" s="105">
        <v>0</v>
      </c>
      <c r="DH41" s="105">
        <v>-2</v>
      </c>
      <c r="DI41" s="105">
        <v>-1049</v>
      </c>
      <c r="DJ41" s="106">
        <v>-1051</v>
      </c>
      <c r="DK41" s="110"/>
      <c r="DL41" s="107">
        <v>-9</v>
      </c>
      <c r="DM41" s="105">
        <v>-6</v>
      </c>
      <c r="DN41" s="105">
        <v>-15</v>
      </c>
      <c r="DO41" s="105">
        <v>-5</v>
      </c>
      <c r="DP41" s="105">
        <v>-20</v>
      </c>
      <c r="DQ41" s="105">
        <v>-3</v>
      </c>
      <c r="DR41" s="106">
        <v>-23</v>
      </c>
      <c r="DS41" s="110"/>
      <c r="DT41" s="107">
        <v>-158</v>
      </c>
      <c r="DU41" s="105">
        <v>-64</v>
      </c>
      <c r="DV41" s="105">
        <v>-222</v>
      </c>
      <c r="DW41" s="105">
        <v>159</v>
      </c>
      <c r="DX41" s="105">
        <v>-63</v>
      </c>
      <c r="DY41" s="105">
        <v>-95</v>
      </c>
      <c r="DZ41" s="106">
        <v>-158</v>
      </c>
      <c r="EA41" s="110"/>
      <c r="EB41" s="107">
        <v>-67</v>
      </c>
      <c r="EC41" s="105">
        <v>-106</v>
      </c>
      <c r="ED41" s="105">
        <v>-173</v>
      </c>
      <c r="EE41" s="105">
        <v>-154</v>
      </c>
      <c r="EF41" s="106">
        <v>-327</v>
      </c>
    </row>
    <row r="42" spans="1:136" ht="15" customHeight="1" outlineLevel="1" x14ac:dyDescent="0.25">
      <c r="A42" s="77" t="s">
        <v>20</v>
      </c>
      <c r="B42" s="105"/>
      <c r="C42" s="105"/>
      <c r="D42" s="107">
        <v>1648</v>
      </c>
      <c r="E42" s="441">
        <f t="shared" si="0"/>
        <v>1581.7905900000001</v>
      </c>
      <c r="F42" s="441">
        <v>3229.7905900000001</v>
      </c>
      <c r="G42" s="441">
        <f t="shared" si="1"/>
        <v>1621.2094099999999</v>
      </c>
      <c r="H42" s="441">
        <v>4851</v>
      </c>
      <c r="I42" s="441">
        <f t="shared" si="2"/>
        <v>1808</v>
      </c>
      <c r="J42" s="106">
        <v>6659</v>
      </c>
      <c r="K42" s="105"/>
      <c r="L42" s="107">
        <v>1877</v>
      </c>
      <c r="M42" s="441">
        <v>1815</v>
      </c>
      <c r="N42" s="441">
        <v>3692</v>
      </c>
      <c r="O42" s="441">
        <v>1792</v>
      </c>
      <c r="P42" s="441">
        <v>5484</v>
      </c>
      <c r="Q42" s="441">
        <f t="shared" si="3"/>
        <v>1733</v>
      </c>
      <c r="R42" s="106">
        <v>7217</v>
      </c>
      <c r="S42" s="105"/>
      <c r="T42" s="107">
        <v>1447</v>
      </c>
      <c r="U42" s="441">
        <v>1396</v>
      </c>
      <c r="V42" s="441">
        <v>2843</v>
      </c>
      <c r="W42" s="441">
        <v>1333</v>
      </c>
      <c r="X42" s="441">
        <v>4176</v>
      </c>
      <c r="Y42" s="441">
        <v>1602</v>
      </c>
      <c r="Z42" s="106">
        <v>5778</v>
      </c>
      <c r="AA42" s="105"/>
      <c r="AB42" s="107">
        <v>1737</v>
      </c>
      <c r="AC42" s="105">
        <v>1687</v>
      </c>
      <c r="AD42" s="105">
        <v>3424</v>
      </c>
      <c r="AE42" s="105">
        <v>1605</v>
      </c>
      <c r="AF42" s="105">
        <v>5029</v>
      </c>
      <c r="AG42" s="105">
        <v>1514</v>
      </c>
      <c r="AH42" s="106">
        <v>6543</v>
      </c>
      <c r="AI42" s="105"/>
      <c r="AJ42" s="107">
        <v>1887</v>
      </c>
      <c r="AK42" s="105">
        <v>1852</v>
      </c>
      <c r="AL42" s="105">
        <v>3739</v>
      </c>
      <c r="AM42" s="105">
        <v>1866</v>
      </c>
      <c r="AN42" s="105">
        <v>5605</v>
      </c>
      <c r="AO42" s="105">
        <v>1797</v>
      </c>
      <c r="AP42" s="106">
        <v>7402</v>
      </c>
      <c r="AQ42" s="105"/>
      <c r="AR42" s="107">
        <v>2092</v>
      </c>
      <c r="AS42" s="105">
        <v>2069</v>
      </c>
      <c r="AT42" s="105">
        <v>4161</v>
      </c>
      <c r="AU42" s="105">
        <v>2033</v>
      </c>
      <c r="AV42" s="105">
        <v>6194</v>
      </c>
      <c r="AW42" s="105">
        <v>1977</v>
      </c>
      <c r="AX42" s="106">
        <v>8171</v>
      </c>
      <c r="AY42" s="105"/>
      <c r="AZ42" s="107">
        <v>1251</v>
      </c>
      <c r="BA42" s="105">
        <v>2118</v>
      </c>
      <c r="BB42" s="105">
        <v>3369</v>
      </c>
      <c r="BC42" s="105">
        <v>2250</v>
      </c>
      <c r="BD42" s="105">
        <v>5619</v>
      </c>
      <c r="BE42" s="105">
        <v>2191</v>
      </c>
      <c r="BF42" s="106">
        <v>7810</v>
      </c>
      <c r="BG42" s="105"/>
      <c r="BH42" s="107">
        <v>1470</v>
      </c>
      <c r="BI42" s="105">
        <v>1431</v>
      </c>
      <c r="BJ42" s="105">
        <v>2901</v>
      </c>
      <c r="BK42" s="105">
        <v>1373</v>
      </c>
      <c r="BL42" s="105">
        <v>4274</v>
      </c>
      <c r="BM42" s="105">
        <v>1307</v>
      </c>
      <c r="BN42" s="106">
        <v>5581</v>
      </c>
      <c r="BO42" s="77"/>
      <c r="BP42" s="107">
        <v>1698</v>
      </c>
      <c r="BQ42" s="105">
        <v>1667</v>
      </c>
      <c r="BR42" s="105">
        <v>3365</v>
      </c>
      <c r="BS42" s="105">
        <v>1631</v>
      </c>
      <c r="BT42" s="105">
        <v>4996</v>
      </c>
      <c r="BU42" s="105">
        <v>1565</v>
      </c>
      <c r="BV42" s="106">
        <v>6561</v>
      </c>
      <c r="BW42" s="110"/>
      <c r="BX42" s="107">
        <v>1948</v>
      </c>
      <c r="BY42" s="105">
        <v>1910</v>
      </c>
      <c r="BZ42" s="105">
        <v>3858</v>
      </c>
      <c r="CA42" s="105">
        <v>1841</v>
      </c>
      <c r="CB42" s="105">
        <v>5699</v>
      </c>
      <c r="CC42" s="105">
        <v>1791</v>
      </c>
      <c r="CD42" s="106">
        <v>7490</v>
      </c>
      <c r="CE42" s="110"/>
      <c r="CF42" s="107">
        <v>1305</v>
      </c>
      <c r="CG42" s="105">
        <v>1256</v>
      </c>
      <c r="CH42" s="105">
        <v>2561</v>
      </c>
      <c r="CI42" s="105">
        <v>1217</v>
      </c>
      <c r="CJ42" s="105">
        <v>3778</v>
      </c>
      <c r="CK42" s="105">
        <v>1303</v>
      </c>
      <c r="CL42" s="106">
        <v>5081</v>
      </c>
      <c r="CM42" s="110"/>
      <c r="CN42" s="107">
        <v>1569</v>
      </c>
      <c r="CO42" s="105">
        <v>1520</v>
      </c>
      <c r="CP42" s="105">
        <v>3089</v>
      </c>
      <c r="CQ42" s="105">
        <v>1458</v>
      </c>
      <c r="CR42" s="105">
        <v>4547</v>
      </c>
      <c r="CS42" s="105">
        <v>1381</v>
      </c>
      <c r="CT42" s="106">
        <v>5928</v>
      </c>
      <c r="CU42" s="110"/>
      <c r="CV42" s="107">
        <v>654</v>
      </c>
      <c r="CW42" s="105">
        <v>726</v>
      </c>
      <c r="CX42" s="105">
        <v>1380</v>
      </c>
      <c r="CY42" s="105">
        <v>674</v>
      </c>
      <c r="CZ42" s="105">
        <v>2054</v>
      </c>
      <c r="DA42" s="105">
        <v>869</v>
      </c>
      <c r="DB42" s="106">
        <v>2923</v>
      </c>
      <c r="DC42" s="110"/>
      <c r="DD42" s="107">
        <v>961</v>
      </c>
      <c r="DE42" s="105">
        <v>844</v>
      </c>
      <c r="DF42" s="105">
        <v>1805</v>
      </c>
      <c r="DG42" s="105">
        <v>814</v>
      </c>
      <c r="DH42" s="105">
        <v>2619</v>
      </c>
      <c r="DI42" s="105">
        <v>763</v>
      </c>
      <c r="DJ42" s="106">
        <v>3382</v>
      </c>
      <c r="DK42" s="110"/>
      <c r="DL42" s="107">
        <v>1608</v>
      </c>
      <c r="DM42" s="105">
        <v>1282</v>
      </c>
      <c r="DN42" s="105">
        <v>2890</v>
      </c>
      <c r="DO42" s="105">
        <v>1212</v>
      </c>
      <c r="DP42" s="105">
        <v>4102</v>
      </c>
      <c r="DQ42" s="105">
        <v>1212</v>
      </c>
      <c r="DR42" s="106">
        <v>5314</v>
      </c>
      <c r="DS42" s="110"/>
      <c r="DT42" s="107">
        <v>973</v>
      </c>
      <c r="DU42" s="105">
        <v>917</v>
      </c>
      <c r="DV42" s="105">
        <v>1890</v>
      </c>
      <c r="DW42" s="105">
        <v>874</v>
      </c>
      <c r="DX42" s="105">
        <v>2764</v>
      </c>
      <c r="DY42" s="105">
        <v>1782</v>
      </c>
      <c r="DZ42" s="106">
        <v>4546</v>
      </c>
      <c r="EA42" s="110"/>
      <c r="EB42" s="107">
        <v>577</v>
      </c>
      <c r="EC42" s="105">
        <v>1107</v>
      </c>
      <c r="ED42" s="105">
        <v>1684</v>
      </c>
      <c r="EE42" s="105">
        <v>1040</v>
      </c>
      <c r="EF42" s="106">
        <v>2724</v>
      </c>
    </row>
    <row r="43" spans="1:136" ht="15" customHeight="1" outlineLevel="1" x14ac:dyDescent="0.25">
      <c r="A43" s="77" t="s">
        <v>55</v>
      </c>
      <c r="B43" s="105"/>
      <c r="C43" s="105"/>
      <c r="D43" s="107">
        <v>517</v>
      </c>
      <c r="E43" s="441">
        <f t="shared" si="0"/>
        <v>579</v>
      </c>
      <c r="F43" s="462">
        <v>1096</v>
      </c>
      <c r="G43" s="462">
        <f t="shared" si="1"/>
        <v>448</v>
      </c>
      <c r="H43" s="462">
        <v>1544</v>
      </c>
      <c r="I43" s="462">
        <f t="shared" si="2"/>
        <v>494</v>
      </c>
      <c r="J43" s="117">
        <f>2158-J44</f>
        <v>2038</v>
      </c>
      <c r="K43" s="105"/>
      <c r="L43" s="107">
        <v>517</v>
      </c>
      <c r="M43" s="441">
        <v>524</v>
      </c>
      <c r="N43" s="441">
        <v>1041</v>
      </c>
      <c r="O43" s="441">
        <v>527</v>
      </c>
      <c r="P43" s="462">
        <v>1568</v>
      </c>
      <c r="Q43" s="462">
        <f t="shared" si="3"/>
        <v>524</v>
      </c>
      <c r="R43" s="117">
        <f>1971+121</f>
        <v>2092</v>
      </c>
      <c r="S43" s="105"/>
      <c r="T43" s="107">
        <v>646</v>
      </c>
      <c r="U43" s="441">
        <v>626</v>
      </c>
      <c r="V43" s="462">
        <v>1272</v>
      </c>
      <c r="W43" s="441">
        <v>595</v>
      </c>
      <c r="X43" s="462">
        <v>1867</v>
      </c>
      <c r="Y43" s="441">
        <v>548</v>
      </c>
      <c r="Z43" s="117">
        <v>2415</v>
      </c>
      <c r="AA43" s="105"/>
      <c r="AB43" s="107">
        <v>669</v>
      </c>
      <c r="AC43" s="105">
        <v>523</v>
      </c>
      <c r="AD43" s="116">
        <v>1192</v>
      </c>
      <c r="AE43" s="105">
        <v>525</v>
      </c>
      <c r="AF43" s="105">
        <v>1717</v>
      </c>
      <c r="AG43" s="105">
        <v>684</v>
      </c>
      <c r="AH43" s="117">
        <v>2401</v>
      </c>
      <c r="AI43" s="105"/>
      <c r="AJ43" s="107">
        <v>804</v>
      </c>
      <c r="AK43" s="105">
        <v>794</v>
      </c>
      <c r="AL43" s="116">
        <v>1598</v>
      </c>
      <c r="AM43" s="105">
        <v>786</v>
      </c>
      <c r="AN43" s="105">
        <v>2384</v>
      </c>
      <c r="AO43" s="105">
        <v>776</v>
      </c>
      <c r="AP43" s="117">
        <v>3160</v>
      </c>
      <c r="AQ43" s="105"/>
      <c r="AR43" s="107">
        <v>873</v>
      </c>
      <c r="AS43" s="105">
        <v>828</v>
      </c>
      <c r="AT43" s="116">
        <v>1701</v>
      </c>
      <c r="AU43" s="105">
        <v>816</v>
      </c>
      <c r="AV43" s="105">
        <v>2517</v>
      </c>
      <c r="AW43" s="105">
        <v>806</v>
      </c>
      <c r="AX43" s="117">
        <v>3323</v>
      </c>
      <c r="AY43" s="105"/>
      <c r="AZ43" s="107">
        <v>841</v>
      </c>
      <c r="BA43" s="105">
        <v>859</v>
      </c>
      <c r="BB43" s="116">
        <v>1700</v>
      </c>
      <c r="BC43" s="105">
        <v>885</v>
      </c>
      <c r="BD43" s="105">
        <v>2585</v>
      </c>
      <c r="BE43" s="105">
        <v>891</v>
      </c>
      <c r="BF43" s="117">
        <v>3476</v>
      </c>
      <c r="BG43" s="105"/>
      <c r="BH43" s="107">
        <v>757</v>
      </c>
      <c r="BI43" s="105">
        <v>724</v>
      </c>
      <c r="BJ43" s="116">
        <v>1481</v>
      </c>
      <c r="BK43" s="105">
        <v>726</v>
      </c>
      <c r="BL43" s="105">
        <v>2207</v>
      </c>
      <c r="BM43" s="105">
        <v>789</v>
      </c>
      <c r="BN43" s="117">
        <v>2996</v>
      </c>
      <c r="BO43" s="77"/>
      <c r="BP43" s="107">
        <v>1279</v>
      </c>
      <c r="BQ43" s="105">
        <v>1279</v>
      </c>
      <c r="BR43" s="116">
        <v>2558</v>
      </c>
      <c r="BS43" s="105">
        <v>1278</v>
      </c>
      <c r="BT43" s="105">
        <v>3836</v>
      </c>
      <c r="BU43" s="105">
        <v>770</v>
      </c>
      <c r="BV43" s="117">
        <v>4606</v>
      </c>
      <c r="BW43" s="110"/>
      <c r="BX43" s="107">
        <v>1205</v>
      </c>
      <c r="BY43" s="105">
        <v>1203</v>
      </c>
      <c r="BZ43" s="116">
        <v>2408</v>
      </c>
      <c r="CA43" s="105">
        <v>1250</v>
      </c>
      <c r="CB43" s="105">
        <v>3658</v>
      </c>
      <c r="CC43" s="105">
        <v>1272</v>
      </c>
      <c r="CD43" s="117">
        <v>4930</v>
      </c>
      <c r="CE43" s="110"/>
      <c r="CF43" s="107">
        <v>1219</v>
      </c>
      <c r="CG43" s="105">
        <v>1238</v>
      </c>
      <c r="CH43" s="116">
        <v>2457</v>
      </c>
      <c r="CI43" s="105">
        <v>1255</v>
      </c>
      <c r="CJ43" s="105">
        <v>3712</v>
      </c>
      <c r="CK43" s="105">
        <v>1200</v>
      </c>
      <c r="CL43" s="117">
        <v>4912</v>
      </c>
      <c r="CM43" s="110"/>
      <c r="CN43" s="107">
        <v>1100</v>
      </c>
      <c r="CO43" s="105">
        <v>1128</v>
      </c>
      <c r="CP43" s="116">
        <v>2228</v>
      </c>
      <c r="CQ43" s="105">
        <v>1152</v>
      </c>
      <c r="CR43" s="105">
        <v>3380</v>
      </c>
      <c r="CS43" s="105">
        <v>1176</v>
      </c>
      <c r="CT43" s="117">
        <v>4556</v>
      </c>
      <c r="CU43" s="110"/>
      <c r="CV43" s="107">
        <v>905</v>
      </c>
      <c r="CW43" s="105">
        <v>1146</v>
      </c>
      <c r="CX43" s="116">
        <v>2051</v>
      </c>
      <c r="CY43" s="105">
        <v>1119</v>
      </c>
      <c r="CZ43" s="105">
        <v>3170</v>
      </c>
      <c r="DA43" s="105">
        <v>1107</v>
      </c>
      <c r="DB43" s="117">
        <v>4277</v>
      </c>
      <c r="DC43" s="110"/>
      <c r="DD43" s="107">
        <v>943</v>
      </c>
      <c r="DE43" s="105">
        <v>947</v>
      </c>
      <c r="DF43" s="116">
        <v>1890</v>
      </c>
      <c r="DG43" s="105">
        <v>958</v>
      </c>
      <c r="DH43" s="105">
        <v>2848</v>
      </c>
      <c r="DI43" s="105">
        <v>794</v>
      </c>
      <c r="DJ43" s="117">
        <v>3642</v>
      </c>
      <c r="DK43" s="110"/>
      <c r="DL43" s="107">
        <v>908</v>
      </c>
      <c r="DM43" s="105">
        <v>918</v>
      </c>
      <c r="DN43" s="116">
        <v>1826</v>
      </c>
      <c r="DO43" s="105">
        <v>942</v>
      </c>
      <c r="DP43" s="105">
        <v>2768</v>
      </c>
      <c r="DQ43" s="105">
        <v>973</v>
      </c>
      <c r="DR43" s="117">
        <v>3741</v>
      </c>
      <c r="DS43" s="110"/>
      <c r="DT43" s="107">
        <v>854</v>
      </c>
      <c r="DU43" s="105">
        <v>909</v>
      </c>
      <c r="DV43" s="105">
        <v>1763</v>
      </c>
      <c r="DW43" s="105">
        <v>882</v>
      </c>
      <c r="DX43" s="105">
        <v>2645</v>
      </c>
      <c r="DY43" s="105">
        <v>943</v>
      </c>
      <c r="DZ43" s="117">
        <v>3588</v>
      </c>
      <c r="EA43" s="110"/>
      <c r="EB43" s="170">
        <v>409</v>
      </c>
      <c r="EC43" s="105">
        <v>817</v>
      </c>
      <c r="ED43" s="105">
        <v>1226</v>
      </c>
      <c r="EE43" s="105">
        <v>814</v>
      </c>
      <c r="EF43" s="117">
        <v>2040</v>
      </c>
    </row>
    <row r="44" spans="1:136" s="158" customFormat="1" ht="15" customHeight="1" outlineLevel="1" x14ac:dyDescent="0.25">
      <c r="A44" s="77" t="s">
        <v>56</v>
      </c>
      <c r="B44" s="155"/>
      <c r="C44" s="155"/>
      <c r="D44" s="154">
        <v>30</v>
      </c>
      <c r="E44" s="460">
        <f t="shared" si="0"/>
        <v>-30</v>
      </c>
      <c r="F44" s="463">
        <v>0</v>
      </c>
      <c r="G44" s="463">
        <f t="shared" si="1"/>
        <v>90</v>
      </c>
      <c r="H44" s="463">
        <v>90</v>
      </c>
      <c r="I44" s="463">
        <f t="shared" si="2"/>
        <v>30</v>
      </c>
      <c r="J44" s="191">
        <v>120</v>
      </c>
      <c r="K44" s="155"/>
      <c r="L44" s="154">
        <v>30</v>
      </c>
      <c r="M44" s="460">
        <v>30</v>
      </c>
      <c r="N44" s="460">
        <v>60</v>
      </c>
      <c r="O44" s="460">
        <v>30</v>
      </c>
      <c r="P44" s="463">
        <v>90</v>
      </c>
      <c r="Q44" s="463">
        <f t="shared" si="3"/>
        <v>30</v>
      </c>
      <c r="R44" s="191">
        <v>120</v>
      </c>
      <c r="S44" s="155"/>
      <c r="T44" s="154">
        <v>38</v>
      </c>
      <c r="U44" s="460">
        <v>37</v>
      </c>
      <c r="V44" s="463">
        <v>75</v>
      </c>
      <c r="W44" s="460">
        <v>38</v>
      </c>
      <c r="X44" s="463">
        <v>113</v>
      </c>
      <c r="Y44" s="460">
        <v>245</v>
      </c>
      <c r="Z44" s="191">
        <v>358</v>
      </c>
      <c r="AA44" s="155"/>
      <c r="AB44" s="154">
        <v>38</v>
      </c>
      <c r="AC44" s="155">
        <v>37</v>
      </c>
      <c r="AD44" s="190">
        <v>75</v>
      </c>
      <c r="AE44" s="155">
        <v>38</v>
      </c>
      <c r="AF44" s="155">
        <v>113</v>
      </c>
      <c r="AG44" s="155">
        <v>37</v>
      </c>
      <c r="AH44" s="191">
        <v>150</v>
      </c>
      <c r="AI44" s="155"/>
      <c r="AJ44" s="154">
        <v>38</v>
      </c>
      <c r="AK44" s="155">
        <v>37</v>
      </c>
      <c r="AL44" s="190">
        <v>75</v>
      </c>
      <c r="AM44" s="155">
        <v>38</v>
      </c>
      <c r="AN44" s="155">
        <v>113</v>
      </c>
      <c r="AO44" s="155">
        <v>37</v>
      </c>
      <c r="AP44" s="191">
        <v>150</v>
      </c>
      <c r="AQ44" s="155"/>
      <c r="AR44" s="154">
        <v>66</v>
      </c>
      <c r="AS44" s="155">
        <v>65</v>
      </c>
      <c r="AT44" s="190">
        <v>131</v>
      </c>
      <c r="AU44" s="155">
        <v>68</v>
      </c>
      <c r="AV44" s="155">
        <v>199</v>
      </c>
      <c r="AW44" s="155">
        <v>56</v>
      </c>
      <c r="AX44" s="191">
        <v>255</v>
      </c>
      <c r="AY44" s="155"/>
      <c r="AZ44" s="154">
        <v>93</v>
      </c>
      <c r="BA44" s="155">
        <v>130</v>
      </c>
      <c r="BB44" s="190">
        <v>223</v>
      </c>
      <c r="BC44" s="155">
        <v>130</v>
      </c>
      <c r="BD44" s="155">
        <v>353</v>
      </c>
      <c r="BE44" s="155">
        <v>109</v>
      </c>
      <c r="BF44" s="191">
        <v>462</v>
      </c>
      <c r="BG44" s="155"/>
      <c r="BH44" s="154">
        <v>93</v>
      </c>
      <c r="BI44" s="155">
        <v>92</v>
      </c>
      <c r="BJ44" s="190">
        <v>185</v>
      </c>
      <c r="BK44" s="155">
        <v>93</v>
      </c>
      <c r="BL44" s="155">
        <v>278</v>
      </c>
      <c r="BM44" s="155">
        <v>93</v>
      </c>
      <c r="BN44" s="191">
        <v>371</v>
      </c>
      <c r="BO44" s="115"/>
      <c r="BP44" s="154">
        <v>93</v>
      </c>
      <c r="BQ44" s="155">
        <v>92</v>
      </c>
      <c r="BR44" s="190">
        <v>185</v>
      </c>
      <c r="BS44" s="155">
        <v>93</v>
      </c>
      <c r="BT44" s="155">
        <v>278</v>
      </c>
      <c r="BU44" s="155">
        <v>93</v>
      </c>
      <c r="BV44" s="191">
        <v>371</v>
      </c>
      <c r="BW44" s="157"/>
      <c r="BX44" s="154">
        <v>139</v>
      </c>
      <c r="BY44" s="155">
        <v>139</v>
      </c>
      <c r="BZ44" s="190">
        <v>278</v>
      </c>
      <c r="CA44" s="155">
        <v>134</v>
      </c>
      <c r="CB44" s="155">
        <v>412</v>
      </c>
      <c r="CC44" s="155">
        <v>96</v>
      </c>
      <c r="CD44" s="191">
        <v>508</v>
      </c>
      <c r="CE44" s="157"/>
      <c r="CF44" s="154">
        <v>93</v>
      </c>
      <c r="CG44" s="155">
        <v>92</v>
      </c>
      <c r="CH44" s="190">
        <v>185</v>
      </c>
      <c r="CI44" s="155">
        <v>93</v>
      </c>
      <c r="CJ44" s="155">
        <v>278</v>
      </c>
      <c r="CK44" s="155">
        <v>108</v>
      </c>
      <c r="CL44" s="191">
        <v>386</v>
      </c>
      <c r="CM44" s="157"/>
      <c r="CN44" s="154">
        <v>93</v>
      </c>
      <c r="CO44" s="155">
        <v>92</v>
      </c>
      <c r="CP44" s="190">
        <v>185</v>
      </c>
      <c r="CQ44" s="155">
        <v>93</v>
      </c>
      <c r="CR44" s="155">
        <v>278</v>
      </c>
      <c r="CS44" s="155">
        <v>92</v>
      </c>
      <c r="CT44" s="191">
        <v>370</v>
      </c>
      <c r="CU44" s="157"/>
      <c r="CV44" s="154">
        <v>35</v>
      </c>
      <c r="CW44" s="155">
        <v>47</v>
      </c>
      <c r="CX44" s="190">
        <v>82</v>
      </c>
      <c r="CY44" s="155">
        <v>47</v>
      </c>
      <c r="CZ44" s="155">
        <v>129</v>
      </c>
      <c r="DA44" s="155">
        <v>62</v>
      </c>
      <c r="DB44" s="191">
        <v>191</v>
      </c>
      <c r="DC44" s="157"/>
      <c r="DD44" s="154">
        <v>32</v>
      </c>
      <c r="DE44" s="155">
        <v>29</v>
      </c>
      <c r="DF44" s="190">
        <v>61</v>
      </c>
      <c r="DG44" s="155">
        <v>31</v>
      </c>
      <c r="DH44" s="155">
        <v>92</v>
      </c>
      <c r="DI44" s="155">
        <v>30</v>
      </c>
      <c r="DJ44" s="191">
        <v>122</v>
      </c>
      <c r="DK44" s="157"/>
      <c r="DL44" s="154">
        <v>41</v>
      </c>
      <c r="DM44" s="155">
        <v>50</v>
      </c>
      <c r="DN44" s="190">
        <v>91</v>
      </c>
      <c r="DO44" s="155">
        <v>31</v>
      </c>
      <c r="DP44" s="155">
        <v>122</v>
      </c>
      <c r="DQ44" s="155">
        <v>30</v>
      </c>
      <c r="DR44" s="191">
        <v>152</v>
      </c>
      <c r="DS44" s="157"/>
      <c r="DT44" s="154">
        <v>0</v>
      </c>
      <c r="DU44" s="155">
        <v>0</v>
      </c>
      <c r="DV44" s="190">
        <v>0</v>
      </c>
      <c r="DW44" s="155">
        <v>0</v>
      </c>
      <c r="DX44" s="155">
        <v>0</v>
      </c>
      <c r="DY44" s="155">
        <v>0</v>
      </c>
      <c r="DZ44" s="191">
        <v>0</v>
      </c>
      <c r="EA44" s="157"/>
      <c r="EB44" s="195">
        <v>0</v>
      </c>
      <c r="EC44" s="155">
        <v>0</v>
      </c>
      <c r="ED44" s="155">
        <v>0</v>
      </c>
      <c r="EE44" s="155">
        <v>0</v>
      </c>
      <c r="EF44" s="191">
        <v>0</v>
      </c>
    </row>
    <row r="45" spans="1:136" s="100" customFormat="1" x14ac:dyDescent="0.25">
      <c r="A45" s="89" t="s">
        <v>57</v>
      </c>
      <c r="B45" s="103"/>
      <c r="C45" s="103"/>
      <c r="D45" s="108">
        <v>6994</v>
      </c>
      <c r="E45" s="442">
        <f t="shared" si="0"/>
        <v>6345</v>
      </c>
      <c r="F45" s="442">
        <v>13339</v>
      </c>
      <c r="G45" s="442">
        <f t="shared" si="1"/>
        <v>5256</v>
      </c>
      <c r="H45" s="442">
        <v>18595</v>
      </c>
      <c r="I45" s="442">
        <f t="shared" si="2"/>
        <v>6793</v>
      </c>
      <c r="J45" s="104">
        <v>25388</v>
      </c>
      <c r="K45" s="103"/>
      <c r="L45" s="108">
        <v>6008</v>
      </c>
      <c r="M45" s="442">
        <v>6784</v>
      </c>
      <c r="N45" s="442">
        <v>12792</v>
      </c>
      <c r="O45" s="442">
        <v>7263</v>
      </c>
      <c r="P45" s="442">
        <v>20055</v>
      </c>
      <c r="Q45" s="442">
        <f t="shared" si="3"/>
        <v>6971</v>
      </c>
      <c r="R45" s="104">
        <f>26905+121</f>
        <v>27026</v>
      </c>
      <c r="S45" s="103"/>
      <c r="T45" s="108">
        <v>6379</v>
      </c>
      <c r="U45" s="442">
        <v>6942</v>
      </c>
      <c r="V45" s="442">
        <v>13321</v>
      </c>
      <c r="W45" s="442">
        <v>6693</v>
      </c>
      <c r="X45" s="442">
        <v>20014</v>
      </c>
      <c r="Y45" s="442">
        <v>5138</v>
      </c>
      <c r="Z45" s="104">
        <v>25152</v>
      </c>
      <c r="AA45" s="103"/>
      <c r="AB45" s="108">
        <v>7208</v>
      </c>
      <c r="AC45" s="103">
        <v>7034</v>
      </c>
      <c r="AD45" s="103">
        <v>14242</v>
      </c>
      <c r="AE45" s="103">
        <v>6585</v>
      </c>
      <c r="AF45" s="103">
        <v>20827</v>
      </c>
      <c r="AG45" s="103">
        <v>7131</v>
      </c>
      <c r="AH45" s="104">
        <v>27958</v>
      </c>
      <c r="AI45" s="103"/>
      <c r="AJ45" s="108">
        <v>6734</v>
      </c>
      <c r="AK45" s="103">
        <v>7080</v>
      </c>
      <c r="AL45" s="103">
        <v>13814</v>
      </c>
      <c r="AM45" s="103">
        <v>7722</v>
      </c>
      <c r="AN45" s="103">
        <v>21536</v>
      </c>
      <c r="AO45" s="103">
        <v>7895</v>
      </c>
      <c r="AP45" s="104">
        <v>29431</v>
      </c>
      <c r="AQ45" s="103"/>
      <c r="AR45" s="108">
        <v>6496</v>
      </c>
      <c r="AS45" s="103">
        <v>6994</v>
      </c>
      <c r="AT45" s="103">
        <v>13490</v>
      </c>
      <c r="AU45" s="103">
        <v>7003</v>
      </c>
      <c r="AV45" s="103">
        <v>20493</v>
      </c>
      <c r="AW45" s="103">
        <v>6229</v>
      </c>
      <c r="AX45" s="104">
        <v>26722</v>
      </c>
      <c r="AY45" s="103"/>
      <c r="AZ45" s="108">
        <v>6725</v>
      </c>
      <c r="BA45" s="103">
        <v>6334</v>
      </c>
      <c r="BB45" s="103">
        <v>13059</v>
      </c>
      <c r="BC45" s="103">
        <v>6641</v>
      </c>
      <c r="BD45" s="103">
        <v>19700</v>
      </c>
      <c r="BE45" s="103">
        <v>6362</v>
      </c>
      <c r="BF45" s="104">
        <v>26062</v>
      </c>
      <c r="BG45" s="103"/>
      <c r="BH45" s="108">
        <v>6468</v>
      </c>
      <c r="BI45" s="103">
        <v>7478</v>
      </c>
      <c r="BJ45" s="103">
        <v>13946</v>
      </c>
      <c r="BK45" s="103">
        <v>7003</v>
      </c>
      <c r="BL45" s="103">
        <v>20949</v>
      </c>
      <c r="BM45" s="103">
        <v>6150</v>
      </c>
      <c r="BN45" s="104">
        <v>27099</v>
      </c>
      <c r="BO45" s="89"/>
      <c r="BP45" s="108">
        <v>6680</v>
      </c>
      <c r="BQ45" s="103">
        <v>6455</v>
      </c>
      <c r="BR45" s="103">
        <v>13135</v>
      </c>
      <c r="BS45" s="103">
        <v>7093</v>
      </c>
      <c r="BT45" s="103">
        <v>20228</v>
      </c>
      <c r="BU45" s="103">
        <v>6815</v>
      </c>
      <c r="BV45" s="104">
        <v>27043</v>
      </c>
      <c r="BW45" s="109"/>
      <c r="BX45" s="108">
        <v>7114</v>
      </c>
      <c r="BY45" s="103">
        <v>7415</v>
      </c>
      <c r="BZ45" s="103">
        <v>14529</v>
      </c>
      <c r="CA45" s="103">
        <v>6919</v>
      </c>
      <c r="CB45" s="103">
        <v>21448</v>
      </c>
      <c r="CC45" s="103">
        <v>6326</v>
      </c>
      <c r="CD45" s="104">
        <v>27774</v>
      </c>
      <c r="CE45" s="109"/>
      <c r="CF45" s="108">
        <v>7377</v>
      </c>
      <c r="CG45" s="103">
        <v>7148</v>
      </c>
      <c r="CH45" s="103">
        <v>14525</v>
      </c>
      <c r="CI45" s="103">
        <v>7521</v>
      </c>
      <c r="CJ45" s="103">
        <v>22046</v>
      </c>
      <c r="CK45" s="103">
        <v>6854</v>
      </c>
      <c r="CL45" s="104">
        <v>28900</v>
      </c>
      <c r="CM45" s="109"/>
      <c r="CN45" s="108">
        <v>8182</v>
      </c>
      <c r="CO45" s="103">
        <v>7944</v>
      </c>
      <c r="CP45" s="103">
        <v>16126</v>
      </c>
      <c r="CQ45" s="103">
        <v>7851</v>
      </c>
      <c r="CR45" s="103">
        <v>23977</v>
      </c>
      <c r="CS45" s="103">
        <v>7242</v>
      </c>
      <c r="CT45" s="104">
        <v>31219</v>
      </c>
      <c r="CU45" s="109"/>
      <c r="CV45" s="108">
        <v>1850</v>
      </c>
      <c r="CW45" s="103">
        <v>7390</v>
      </c>
      <c r="CX45" s="103">
        <v>9240</v>
      </c>
      <c r="CY45" s="103">
        <v>7612</v>
      </c>
      <c r="CZ45" s="103">
        <v>16852</v>
      </c>
      <c r="DA45" s="103">
        <v>7505</v>
      </c>
      <c r="DB45" s="104">
        <v>24357</v>
      </c>
      <c r="DC45" s="109"/>
      <c r="DD45" s="108">
        <v>4567</v>
      </c>
      <c r="DE45" s="103">
        <v>5317</v>
      </c>
      <c r="DF45" s="103">
        <v>9884</v>
      </c>
      <c r="DG45" s="103">
        <v>4594</v>
      </c>
      <c r="DH45" s="103">
        <v>14478</v>
      </c>
      <c r="DI45" s="103">
        <v>5496</v>
      </c>
      <c r="DJ45" s="104">
        <v>19974</v>
      </c>
      <c r="DK45" s="109"/>
      <c r="DL45" s="108">
        <v>5691</v>
      </c>
      <c r="DM45" s="103">
        <v>5371</v>
      </c>
      <c r="DN45" s="103">
        <v>11062</v>
      </c>
      <c r="DO45" s="103">
        <v>5570</v>
      </c>
      <c r="DP45" s="103">
        <v>16632</v>
      </c>
      <c r="DQ45" s="103">
        <v>4769</v>
      </c>
      <c r="DR45" s="104">
        <v>21401</v>
      </c>
      <c r="DS45" s="109"/>
      <c r="DT45" s="108">
        <v>5979</v>
      </c>
      <c r="DU45" s="103">
        <v>4991</v>
      </c>
      <c r="DV45" s="103">
        <v>10970</v>
      </c>
      <c r="DW45" s="103">
        <v>5270</v>
      </c>
      <c r="DX45" s="103">
        <v>16240</v>
      </c>
      <c r="DY45" s="103">
        <v>4531</v>
      </c>
      <c r="DZ45" s="104">
        <v>20771</v>
      </c>
      <c r="EA45" s="109"/>
      <c r="EB45" s="108">
        <v>2274</v>
      </c>
      <c r="EC45" s="103">
        <v>4618</v>
      </c>
      <c r="ED45" s="103">
        <v>6892</v>
      </c>
      <c r="EE45" s="103">
        <v>2688</v>
      </c>
      <c r="EF45" s="104">
        <v>9580</v>
      </c>
    </row>
    <row r="46" spans="1:136" ht="15" customHeight="1" outlineLevel="1" x14ac:dyDescent="0.25">
      <c r="A46" s="77" t="s">
        <v>58</v>
      </c>
      <c r="B46" s="105"/>
      <c r="C46" s="105"/>
      <c r="D46" s="107">
        <v>0</v>
      </c>
      <c r="E46" s="441">
        <f t="shared" si="0"/>
        <v>0</v>
      </c>
      <c r="F46" s="462"/>
      <c r="G46" s="462"/>
      <c r="H46" s="462"/>
      <c r="I46" s="462">
        <f t="shared" si="2"/>
        <v>0</v>
      </c>
      <c r="J46" s="117">
        <v>0</v>
      </c>
      <c r="K46" s="105"/>
      <c r="L46" s="107">
        <v>0</v>
      </c>
      <c r="M46" s="441">
        <v>0</v>
      </c>
      <c r="N46" s="441">
        <v>0</v>
      </c>
      <c r="O46" s="441">
        <v>0</v>
      </c>
      <c r="P46" s="462">
        <v>0</v>
      </c>
      <c r="Q46" s="462">
        <f t="shared" si="3"/>
        <v>0</v>
      </c>
      <c r="R46" s="117">
        <v>0</v>
      </c>
      <c r="S46" s="105"/>
      <c r="T46" s="107">
        <v>0</v>
      </c>
      <c r="U46" s="441">
        <v>0</v>
      </c>
      <c r="V46" s="462">
        <v>0</v>
      </c>
      <c r="W46" s="441">
        <v>0</v>
      </c>
      <c r="X46" s="462">
        <v>0</v>
      </c>
      <c r="Y46" s="441">
        <v>0</v>
      </c>
      <c r="Z46" s="117">
        <v>0</v>
      </c>
      <c r="AA46" s="105"/>
      <c r="AB46" s="107">
        <v>0</v>
      </c>
      <c r="AC46" s="105">
        <v>0</v>
      </c>
      <c r="AD46" s="116">
        <v>0</v>
      </c>
      <c r="AE46" s="105">
        <v>0</v>
      </c>
      <c r="AF46" s="105">
        <v>0</v>
      </c>
      <c r="AG46" s="105">
        <v>0</v>
      </c>
      <c r="AH46" s="117">
        <v>0</v>
      </c>
      <c r="AI46" s="105"/>
      <c r="AJ46" s="107">
        <v>0</v>
      </c>
      <c r="AK46" s="105">
        <v>0</v>
      </c>
      <c r="AL46" s="116">
        <v>0</v>
      </c>
      <c r="AM46" s="105">
        <v>0</v>
      </c>
      <c r="AN46" s="105">
        <v>0</v>
      </c>
      <c r="AO46" s="105">
        <v>0</v>
      </c>
      <c r="AP46" s="117">
        <v>0</v>
      </c>
      <c r="AQ46" s="105"/>
      <c r="AR46" s="107">
        <v>-10</v>
      </c>
      <c r="AS46" s="105">
        <v>0</v>
      </c>
      <c r="AT46" s="116">
        <v>-10</v>
      </c>
      <c r="AU46" s="105">
        <v>0</v>
      </c>
      <c r="AV46" s="105">
        <v>-10</v>
      </c>
      <c r="AW46" s="105">
        <v>6</v>
      </c>
      <c r="AX46" s="117">
        <v>-4</v>
      </c>
      <c r="AY46" s="105"/>
      <c r="AZ46" s="107">
        <v>-10</v>
      </c>
      <c r="BA46" s="105">
        <v>0</v>
      </c>
      <c r="BB46" s="116">
        <v>-10</v>
      </c>
      <c r="BC46" s="105">
        <v>0</v>
      </c>
      <c r="BD46" s="105">
        <v>-10</v>
      </c>
      <c r="BE46" s="105">
        <v>0</v>
      </c>
      <c r="BF46" s="117">
        <v>-10</v>
      </c>
      <c r="BG46" s="105"/>
      <c r="BH46" s="107">
        <v>0</v>
      </c>
      <c r="BI46" s="105">
        <v>11</v>
      </c>
      <c r="BJ46" s="116">
        <v>11</v>
      </c>
      <c r="BK46" s="105">
        <v>-11</v>
      </c>
      <c r="BL46" s="105">
        <v>0</v>
      </c>
      <c r="BM46" s="105">
        <v>0</v>
      </c>
      <c r="BN46" s="117">
        <v>0</v>
      </c>
      <c r="BO46" s="77"/>
      <c r="BP46" s="107">
        <v>0</v>
      </c>
      <c r="BQ46" s="105">
        <v>0</v>
      </c>
      <c r="BR46" s="116">
        <v>0</v>
      </c>
      <c r="BS46" s="105">
        <v>0</v>
      </c>
      <c r="BT46" s="105">
        <v>0</v>
      </c>
      <c r="BU46" s="105">
        <v>6</v>
      </c>
      <c r="BV46" s="117">
        <v>6</v>
      </c>
      <c r="BW46" s="110"/>
      <c r="BX46" s="107">
        <v>0</v>
      </c>
      <c r="BY46" s="105">
        <v>-20</v>
      </c>
      <c r="BZ46" s="116">
        <v>-20</v>
      </c>
      <c r="CA46" s="105">
        <v>2</v>
      </c>
      <c r="CB46" s="105">
        <v>-18</v>
      </c>
      <c r="CC46" s="105">
        <v>0</v>
      </c>
      <c r="CD46" s="117">
        <v>-18</v>
      </c>
      <c r="CE46" s="110"/>
      <c r="CF46" s="107">
        <v>0</v>
      </c>
      <c r="CG46" s="105">
        <v>0</v>
      </c>
      <c r="CH46" s="116">
        <v>0</v>
      </c>
      <c r="CI46" s="105">
        <v>0</v>
      </c>
      <c r="CJ46" s="105">
        <v>0</v>
      </c>
      <c r="CK46" s="105">
        <v>0</v>
      </c>
      <c r="CL46" s="117">
        <v>0</v>
      </c>
      <c r="CM46" s="110"/>
      <c r="CN46" s="107">
        <v>0</v>
      </c>
      <c r="CO46" s="105">
        <v>0</v>
      </c>
      <c r="CP46" s="116">
        <v>0</v>
      </c>
      <c r="CQ46" s="105">
        <v>0</v>
      </c>
      <c r="CR46" s="105">
        <v>0</v>
      </c>
      <c r="CS46" s="105">
        <v>0</v>
      </c>
      <c r="CT46" s="117">
        <v>0</v>
      </c>
      <c r="CU46" s="110"/>
      <c r="CV46" s="107">
        <v>0</v>
      </c>
      <c r="CW46" s="105">
        <v>0</v>
      </c>
      <c r="CX46" s="116">
        <v>0</v>
      </c>
      <c r="CY46" s="105">
        <v>0</v>
      </c>
      <c r="CZ46" s="105">
        <v>0</v>
      </c>
      <c r="DA46" s="105">
        <v>303</v>
      </c>
      <c r="DB46" s="117">
        <v>303</v>
      </c>
      <c r="DC46" s="110"/>
      <c r="DD46" s="107">
        <v>0</v>
      </c>
      <c r="DE46" s="105">
        <v>0</v>
      </c>
      <c r="DF46" s="116">
        <v>0</v>
      </c>
      <c r="DG46" s="105">
        <v>0</v>
      </c>
      <c r="DH46" s="105">
        <v>0</v>
      </c>
      <c r="DI46" s="105">
        <v>0</v>
      </c>
      <c r="DJ46" s="117">
        <v>0</v>
      </c>
      <c r="DK46" s="110"/>
      <c r="DL46" s="107">
        <v>0</v>
      </c>
      <c r="DM46" s="105">
        <v>0</v>
      </c>
      <c r="DN46" s="116">
        <v>0</v>
      </c>
      <c r="DO46" s="105">
        <v>0</v>
      </c>
      <c r="DP46" s="105">
        <v>0</v>
      </c>
      <c r="DQ46" s="105">
        <v>0</v>
      </c>
      <c r="DR46" s="117">
        <v>0</v>
      </c>
      <c r="DS46" s="110"/>
      <c r="DT46" s="107">
        <v>0</v>
      </c>
      <c r="DU46" s="105">
        <v>0</v>
      </c>
      <c r="DV46" s="116">
        <v>0</v>
      </c>
      <c r="DW46" s="105">
        <v>0</v>
      </c>
      <c r="DX46" s="105">
        <v>0</v>
      </c>
      <c r="DY46" s="105">
        <v>0</v>
      </c>
      <c r="DZ46" s="117">
        <v>0</v>
      </c>
      <c r="EA46" s="110"/>
      <c r="EB46" s="170">
        <v>0</v>
      </c>
      <c r="EC46" s="105">
        <v>0</v>
      </c>
      <c r="ED46" s="105">
        <v>0</v>
      </c>
      <c r="EE46" s="105">
        <v>0</v>
      </c>
      <c r="EF46" s="117">
        <v>0</v>
      </c>
    </row>
    <row r="47" spans="1:136" ht="15" customHeight="1" outlineLevel="1" x14ac:dyDescent="0.25">
      <c r="A47" s="77" t="s">
        <v>59</v>
      </c>
      <c r="B47" s="105"/>
      <c r="C47" s="105"/>
      <c r="D47" s="107">
        <v>124</v>
      </c>
      <c r="E47" s="441">
        <f t="shared" si="0"/>
        <v>124</v>
      </c>
      <c r="F47" s="462">
        <v>248</v>
      </c>
      <c r="G47" s="462">
        <f t="shared" si="1"/>
        <v>124</v>
      </c>
      <c r="H47" s="462">
        <v>372</v>
      </c>
      <c r="I47" s="462">
        <f t="shared" si="2"/>
        <v>124</v>
      </c>
      <c r="J47" s="117">
        <v>496</v>
      </c>
      <c r="K47" s="105"/>
      <c r="L47" s="107">
        <v>124</v>
      </c>
      <c r="M47" s="441">
        <v>124</v>
      </c>
      <c r="N47" s="441">
        <v>248</v>
      </c>
      <c r="O47" s="441">
        <v>124</v>
      </c>
      <c r="P47" s="462">
        <v>372</v>
      </c>
      <c r="Q47" s="462">
        <f t="shared" si="3"/>
        <v>124</v>
      </c>
      <c r="R47" s="117">
        <v>496</v>
      </c>
      <c r="S47" s="105"/>
      <c r="T47" s="107">
        <v>124</v>
      </c>
      <c r="U47" s="441">
        <v>123</v>
      </c>
      <c r="V47" s="462">
        <v>247</v>
      </c>
      <c r="W47" s="441">
        <v>125</v>
      </c>
      <c r="X47" s="462">
        <v>372</v>
      </c>
      <c r="Y47" s="441">
        <v>123</v>
      </c>
      <c r="Z47" s="117">
        <v>495</v>
      </c>
      <c r="AA47" s="105"/>
      <c r="AB47" s="107">
        <v>6</v>
      </c>
      <c r="AC47" s="105">
        <v>39</v>
      </c>
      <c r="AD47" s="116">
        <v>45</v>
      </c>
      <c r="AE47" s="105">
        <v>122</v>
      </c>
      <c r="AF47" s="105">
        <v>167</v>
      </c>
      <c r="AG47" s="105">
        <v>121</v>
      </c>
      <c r="AH47" s="117">
        <v>288</v>
      </c>
      <c r="AI47" s="105"/>
      <c r="AJ47" s="107">
        <v>6</v>
      </c>
      <c r="AK47" s="105">
        <v>6</v>
      </c>
      <c r="AL47" s="116">
        <v>12</v>
      </c>
      <c r="AM47" s="105">
        <v>6</v>
      </c>
      <c r="AN47" s="105">
        <v>18</v>
      </c>
      <c r="AO47" s="105">
        <v>5</v>
      </c>
      <c r="AP47" s="117">
        <v>23</v>
      </c>
      <c r="AQ47" s="105"/>
      <c r="AR47" s="107">
        <v>6</v>
      </c>
      <c r="AS47" s="105">
        <v>6</v>
      </c>
      <c r="AT47" s="116">
        <v>12</v>
      </c>
      <c r="AU47" s="105">
        <v>6</v>
      </c>
      <c r="AV47" s="105">
        <v>18</v>
      </c>
      <c r="AW47" s="105">
        <v>5</v>
      </c>
      <c r="AX47" s="117">
        <v>23</v>
      </c>
      <c r="AY47" s="105"/>
      <c r="AZ47" s="107">
        <v>6</v>
      </c>
      <c r="BA47" s="105">
        <v>6</v>
      </c>
      <c r="BB47" s="116">
        <v>12</v>
      </c>
      <c r="BC47" s="105">
        <v>6</v>
      </c>
      <c r="BD47" s="105">
        <v>18</v>
      </c>
      <c r="BE47" s="105">
        <v>5</v>
      </c>
      <c r="BF47" s="117">
        <v>23</v>
      </c>
      <c r="BG47" s="105"/>
      <c r="BH47" s="107">
        <v>6</v>
      </c>
      <c r="BI47" s="105">
        <v>6</v>
      </c>
      <c r="BJ47" s="116">
        <v>12</v>
      </c>
      <c r="BK47" s="105">
        <v>6</v>
      </c>
      <c r="BL47" s="105">
        <v>18</v>
      </c>
      <c r="BM47" s="105">
        <v>5</v>
      </c>
      <c r="BN47" s="117">
        <v>23</v>
      </c>
      <c r="BO47" s="77"/>
      <c r="BP47" s="107">
        <v>6</v>
      </c>
      <c r="BQ47" s="105">
        <v>6</v>
      </c>
      <c r="BR47" s="116">
        <v>12</v>
      </c>
      <c r="BS47" s="105">
        <v>6</v>
      </c>
      <c r="BT47" s="105">
        <v>18</v>
      </c>
      <c r="BU47" s="105">
        <v>5</v>
      </c>
      <c r="BV47" s="117">
        <v>23</v>
      </c>
      <c r="BW47" s="110"/>
      <c r="BX47" s="107">
        <v>6</v>
      </c>
      <c r="BY47" s="105">
        <v>6</v>
      </c>
      <c r="BZ47" s="116">
        <v>12</v>
      </c>
      <c r="CA47" s="105">
        <v>6</v>
      </c>
      <c r="CB47" s="105">
        <v>18</v>
      </c>
      <c r="CC47" s="105">
        <v>5</v>
      </c>
      <c r="CD47" s="117">
        <v>23</v>
      </c>
      <c r="CE47" s="110"/>
      <c r="CF47" s="107">
        <v>0</v>
      </c>
      <c r="CG47" s="105">
        <v>12</v>
      </c>
      <c r="CH47" s="116">
        <v>12</v>
      </c>
      <c r="CI47" s="105">
        <v>6</v>
      </c>
      <c r="CJ47" s="105">
        <v>18</v>
      </c>
      <c r="CK47" s="105">
        <v>6</v>
      </c>
      <c r="CL47" s="117">
        <v>24</v>
      </c>
      <c r="CM47" s="110"/>
      <c r="CN47" s="107">
        <v>0</v>
      </c>
      <c r="CO47" s="105">
        <v>8</v>
      </c>
      <c r="CP47" s="116">
        <v>8</v>
      </c>
      <c r="CQ47" s="105">
        <v>0</v>
      </c>
      <c r="CR47" s="105">
        <v>8</v>
      </c>
      <c r="CS47" s="105">
        <v>12</v>
      </c>
      <c r="CT47" s="117">
        <v>20</v>
      </c>
      <c r="CU47" s="110"/>
      <c r="CV47" s="107">
        <v>0</v>
      </c>
      <c r="CW47" s="105">
        <v>0</v>
      </c>
      <c r="CX47" s="116">
        <v>0</v>
      </c>
      <c r="CY47" s="105">
        <v>0</v>
      </c>
      <c r="CZ47" s="105">
        <v>0</v>
      </c>
      <c r="DA47" s="105">
        <v>0</v>
      </c>
      <c r="DB47" s="117">
        <v>0</v>
      </c>
      <c r="DC47" s="110"/>
      <c r="DD47" s="107">
        <v>0</v>
      </c>
      <c r="DE47" s="105">
        <v>0</v>
      </c>
      <c r="DF47" s="116">
        <v>0</v>
      </c>
      <c r="DG47" s="105">
        <v>0</v>
      </c>
      <c r="DH47" s="105">
        <v>0</v>
      </c>
      <c r="DI47" s="105">
        <v>0</v>
      </c>
      <c r="DJ47" s="117">
        <v>0</v>
      </c>
      <c r="DK47" s="110"/>
      <c r="DL47" s="107">
        <v>0</v>
      </c>
      <c r="DM47" s="105">
        <v>0</v>
      </c>
      <c r="DN47" s="116">
        <v>0</v>
      </c>
      <c r="DO47" s="105">
        <v>0</v>
      </c>
      <c r="DP47" s="105">
        <v>0</v>
      </c>
      <c r="DQ47" s="105">
        <v>0</v>
      </c>
      <c r="DR47" s="117">
        <v>0</v>
      </c>
      <c r="DS47" s="110"/>
      <c r="DT47" s="107">
        <v>0</v>
      </c>
      <c r="DU47" s="105">
        <v>0</v>
      </c>
      <c r="DV47" s="116">
        <v>0</v>
      </c>
      <c r="DW47" s="105">
        <v>0</v>
      </c>
      <c r="DX47" s="105">
        <v>0</v>
      </c>
      <c r="DY47" s="105">
        <v>0</v>
      </c>
      <c r="DZ47" s="117">
        <v>0</v>
      </c>
      <c r="EA47" s="110"/>
      <c r="EB47" s="170">
        <v>0</v>
      </c>
      <c r="EC47" s="105">
        <v>0</v>
      </c>
      <c r="ED47" s="105">
        <v>0</v>
      </c>
      <c r="EE47" s="105">
        <v>0</v>
      </c>
      <c r="EF47" s="117">
        <v>0</v>
      </c>
    </row>
    <row r="48" spans="1:136" ht="15" customHeight="1" outlineLevel="1" x14ac:dyDescent="0.25">
      <c r="A48" s="77" t="s">
        <v>60</v>
      </c>
      <c r="B48" s="105"/>
      <c r="C48" s="105"/>
      <c r="D48" s="107">
        <v>0</v>
      </c>
      <c r="E48" s="441">
        <f t="shared" si="0"/>
        <v>0</v>
      </c>
      <c r="F48" s="462">
        <v>0</v>
      </c>
      <c r="G48" s="462">
        <v>0</v>
      </c>
      <c r="H48" s="462">
        <v>0</v>
      </c>
      <c r="I48" s="462">
        <f t="shared" si="2"/>
        <v>0</v>
      </c>
      <c r="J48" s="117">
        <v>0</v>
      </c>
      <c r="K48" s="105"/>
      <c r="L48" s="107">
        <v>0</v>
      </c>
      <c r="M48" s="441">
        <v>0</v>
      </c>
      <c r="N48" s="441">
        <v>0</v>
      </c>
      <c r="O48" s="441">
        <v>0</v>
      </c>
      <c r="P48" s="462">
        <v>0</v>
      </c>
      <c r="Q48" s="462">
        <f t="shared" si="3"/>
        <v>0</v>
      </c>
      <c r="R48" s="117">
        <v>0</v>
      </c>
      <c r="S48" s="105"/>
      <c r="T48" s="107">
        <v>0</v>
      </c>
      <c r="U48" s="441">
        <v>0</v>
      </c>
      <c r="V48" s="462">
        <v>0</v>
      </c>
      <c r="W48" s="441">
        <v>0</v>
      </c>
      <c r="X48" s="462">
        <v>0</v>
      </c>
      <c r="Y48" s="441">
        <v>0</v>
      </c>
      <c r="Z48" s="117">
        <v>0</v>
      </c>
      <c r="AA48" s="105"/>
      <c r="AB48" s="107">
        <v>0</v>
      </c>
      <c r="AC48" s="105">
        <v>0</v>
      </c>
      <c r="AD48" s="116">
        <v>0</v>
      </c>
      <c r="AE48" s="105">
        <v>0</v>
      </c>
      <c r="AF48" s="105">
        <v>0</v>
      </c>
      <c r="AG48" s="105">
        <v>0</v>
      </c>
      <c r="AH48" s="117">
        <v>0</v>
      </c>
      <c r="AI48" s="105"/>
      <c r="AJ48" s="107">
        <v>0</v>
      </c>
      <c r="AK48" s="105">
        <v>0</v>
      </c>
      <c r="AL48" s="116">
        <v>0</v>
      </c>
      <c r="AM48" s="105">
        <v>0</v>
      </c>
      <c r="AN48" s="105">
        <v>0</v>
      </c>
      <c r="AO48" s="105">
        <v>0</v>
      </c>
      <c r="AP48" s="117">
        <v>0</v>
      </c>
      <c r="AQ48" s="105"/>
      <c r="AR48" s="107">
        <v>0</v>
      </c>
      <c r="AS48" s="105">
        <v>0</v>
      </c>
      <c r="AT48" s="116">
        <v>0</v>
      </c>
      <c r="AU48" s="105">
        <v>0</v>
      </c>
      <c r="AV48" s="105">
        <v>0</v>
      </c>
      <c r="AW48" s="105">
        <v>0</v>
      </c>
      <c r="AX48" s="117">
        <v>0</v>
      </c>
      <c r="AY48" s="105"/>
      <c r="AZ48" s="107">
        <v>0</v>
      </c>
      <c r="BA48" s="105">
        <v>0</v>
      </c>
      <c r="BB48" s="116">
        <v>0</v>
      </c>
      <c r="BC48" s="105">
        <v>0</v>
      </c>
      <c r="BD48" s="105">
        <v>0</v>
      </c>
      <c r="BE48" s="105">
        <v>0</v>
      </c>
      <c r="BF48" s="117">
        <v>0</v>
      </c>
      <c r="BG48" s="105"/>
      <c r="BH48" s="107">
        <v>0</v>
      </c>
      <c r="BI48" s="105">
        <v>0</v>
      </c>
      <c r="BJ48" s="116">
        <v>0</v>
      </c>
      <c r="BK48" s="105">
        <v>0</v>
      </c>
      <c r="BL48" s="105">
        <v>0</v>
      </c>
      <c r="BM48" s="105">
        <v>0</v>
      </c>
      <c r="BN48" s="117">
        <v>0</v>
      </c>
      <c r="BO48" s="77"/>
      <c r="BP48" s="107">
        <v>0</v>
      </c>
      <c r="BQ48" s="105">
        <v>0</v>
      </c>
      <c r="BR48" s="116">
        <v>0</v>
      </c>
      <c r="BS48" s="105">
        <v>0</v>
      </c>
      <c r="BT48" s="105">
        <v>0</v>
      </c>
      <c r="BU48" s="105">
        <v>0</v>
      </c>
      <c r="BV48" s="117">
        <v>0</v>
      </c>
      <c r="BW48" s="110"/>
      <c r="BX48" s="107">
        <v>0</v>
      </c>
      <c r="BY48" s="105">
        <v>0</v>
      </c>
      <c r="BZ48" s="116">
        <v>0</v>
      </c>
      <c r="CA48" s="105">
        <v>0</v>
      </c>
      <c r="CB48" s="105">
        <v>0</v>
      </c>
      <c r="CC48" s="105">
        <v>0</v>
      </c>
      <c r="CD48" s="117">
        <v>0</v>
      </c>
      <c r="CE48" s="110"/>
      <c r="CF48" s="107">
        <v>0</v>
      </c>
      <c r="CG48" s="105">
        <v>0</v>
      </c>
      <c r="CH48" s="116">
        <v>0</v>
      </c>
      <c r="CI48" s="105">
        <v>0</v>
      </c>
      <c r="CJ48" s="105">
        <v>0</v>
      </c>
      <c r="CK48" s="105">
        <v>0</v>
      </c>
      <c r="CL48" s="117">
        <v>0</v>
      </c>
      <c r="CM48" s="110"/>
      <c r="CN48" s="107">
        <v>0</v>
      </c>
      <c r="CO48" s="105">
        <v>0</v>
      </c>
      <c r="CP48" s="116">
        <v>0</v>
      </c>
      <c r="CQ48" s="105">
        <v>0</v>
      </c>
      <c r="CR48" s="105">
        <v>0</v>
      </c>
      <c r="CS48" s="105">
        <v>0</v>
      </c>
      <c r="CT48" s="117">
        <v>0</v>
      </c>
      <c r="CU48" s="110"/>
      <c r="CV48" s="107">
        <v>0</v>
      </c>
      <c r="CW48" s="105">
        <v>0</v>
      </c>
      <c r="CX48" s="116">
        <v>0</v>
      </c>
      <c r="CY48" s="105">
        <v>0</v>
      </c>
      <c r="CZ48" s="105">
        <v>0</v>
      </c>
      <c r="DA48" s="105">
        <v>0</v>
      </c>
      <c r="DB48" s="117">
        <v>0</v>
      </c>
      <c r="DC48" s="110"/>
      <c r="DD48" s="107">
        <v>0</v>
      </c>
      <c r="DE48" s="105">
        <v>0</v>
      </c>
      <c r="DF48" s="116">
        <v>0</v>
      </c>
      <c r="DG48" s="105">
        <v>0</v>
      </c>
      <c r="DH48" s="105">
        <v>0</v>
      </c>
      <c r="DI48" s="105">
        <v>0</v>
      </c>
      <c r="DJ48" s="117">
        <v>0</v>
      </c>
      <c r="DK48" s="110"/>
      <c r="DL48" s="107">
        <v>0</v>
      </c>
      <c r="DM48" s="105">
        <v>0</v>
      </c>
      <c r="DN48" s="116">
        <v>0</v>
      </c>
      <c r="DO48" s="105">
        <v>0</v>
      </c>
      <c r="DP48" s="105">
        <v>0</v>
      </c>
      <c r="DQ48" s="105">
        <v>0</v>
      </c>
      <c r="DR48" s="117">
        <v>0</v>
      </c>
      <c r="DS48" s="110"/>
      <c r="DT48" s="107">
        <v>0</v>
      </c>
      <c r="DU48" s="105">
        <v>0</v>
      </c>
      <c r="DV48" s="116">
        <v>0</v>
      </c>
      <c r="DW48" s="105">
        <v>0</v>
      </c>
      <c r="DX48" s="105">
        <v>0</v>
      </c>
      <c r="DY48" s="105">
        <v>0</v>
      </c>
      <c r="DZ48" s="117">
        <v>0</v>
      </c>
      <c r="EA48" s="110"/>
      <c r="EB48" s="170">
        <v>0</v>
      </c>
      <c r="EC48" s="105">
        <v>0</v>
      </c>
      <c r="ED48" s="105">
        <v>0</v>
      </c>
      <c r="EE48" s="105">
        <v>0</v>
      </c>
      <c r="EF48" s="117">
        <v>0</v>
      </c>
    </row>
    <row r="49" spans="1:136" ht="15" customHeight="1" outlineLevel="1" x14ac:dyDescent="0.25">
      <c r="A49" s="77" t="s">
        <v>61</v>
      </c>
      <c r="B49" s="105"/>
      <c r="C49" s="105"/>
      <c r="D49" s="107">
        <v>0</v>
      </c>
      <c r="E49" s="441">
        <f t="shared" si="0"/>
        <v>0</v>
      </c>
      <c r="F49" s="462">
        <v>0</v>
      </c>
      <c r="G49" s="462">
        <v>0</v>
      </c>
      <c r="H49" s="462">
        <v>0</v>
      </c>
      <c r="I49" s="462">
        <f t="shared" si="2"/>
        <v>0</v>
      </c>
      <c r="J49" s="117">
        <v>0</v>
      </c>
      <c r="K49" s="105"/>
      <c r="L49" s="107">
        <v>0</v>
      </c>
      <c r="M49" s="441">
        <v>0</v>
      </c>
      <c r="N49" s="441">
        <v>0</v>
      </c>
      <c r="O49" s="441">
        <v>0</v>
      </c>
      <c r="P49" s="462">
        <v>0</v>
      </c>
      <c r="Q49" s="462">
        <f t="shared" si="3"/>
        <v>0</v>
      </c>
      <c r="R49" s="117">
        <v>0</v>
      </c>
      <c r="S49" s="105"/>
      <c r="T49" s="107">
        <v>0</v>
      </c>
      <c r="U49" s="441">
        <v>0</v>
      </c>
      <c r="V49" s="462">
        <v>0</v>
      </c>
      <c r="W49" s="441">
        <v>0</v>
      </c>
      <c r="X49" s="462">
        <v>0</v>
      </c>
      <c r="Y49" s="441">
        <v>0</v>
      </c>
      <c r="Z49" s="117">
        <v>0</v>
      </c>
      <c r="AA49" s="105"/>
      <c r="AB49" s="107">
        <v>0</v>
      </c>
      <c r="AC49" s="105">
        <v>0</v>
      </c>
      <c r="AD49" s="116">
        <v>0</v>
      </c>
      <c r="AE49" s="105">
        <v>0</v>
      </c>
      <c r="AF49" s="105">
        <v>0</v>
      </c>
      <c r="AG49" s="105">
        <v>0</v>
      </c>
      <c r="AH49" s="117">
        <v>0</v>
      </c>
      <c r="AI49" s="105"/>
      <c r="AJ49" s="107">
        <v>0</v>
      </c>
      <c r="AK49" s="105">
        <v>0</v>
      </c>
      <c r="AL49" s="116">
        <v>0</v>
      </c>
      <c r="AM49" s="105">
        <v>0</v>
      </c>
      <c r="AN49" s="105">
        <v>0</v>
      </c>
      <c r="AO49" s="105">
        <v>0</v>
      </c>
      <c r="AP49" s="117">
        <v>0</v>
      </c>
      <c r="AQ49" s="105"/>
      <c r="AR49" s="107">
        <v>0</v>
      </c>
      <c r="AS49" s="105">
        <v>0</v>
      </c>
      <c r="AT49" s="116">
        <v>0</v>
      </c>
      <c r="AU49" s="105">
        <v>0</v>
      </c>
      <c r="AV49" s="105">
        <v>0</v>
      </c>
      <c r="AW49" s="105">
        <v>0</v>
      </c>
      <c r="AX49" s="117">
        <v>0</v>
      </c>
      <c r="AY49" s="105"/>
      <c r="AZ49" s="107">
        <v>0</v>
      </c>
      <c r="BA49" s="105">
        <v>0</v>
      </c>
      <c r="BB49" s="116">
        <v>0</v>
      </c>
      <c r="BC49" s="105">
        <v>0</v>
      </c>
      <c r="BD49" s="105">
        <v>0</v>
      </c>
      <c r="BE49" s="105">
        <v>0</v>
      </c>
      <c r="BF49" s="117">
        <v>0</v>
      </c>
      <c r="BG49" s="105"/>
      <c r="BH49" s="107">
        <v>0</v>
      </c>
      <c r="BI49" s="105">
        <v>0</v>
      </c>
      <c r="BJ49" s="116">
        <v>0</v>
      </c>
      <c r="BK49" s="105">
        <v>0</v>
      </c>
      <c r="BL49" s="105">
        <v>0</v>
      </c>
      <c r="BM49" s="105">
        <v>0</v>
      </c>
      <c r="BN49" s="117">
        <v>0</v>
      </c>
      <c r="BO49" s="77"/>
      <c r="BP49" s="107">
        <v>0</v>
      </c>
      <c r="BQ49" s="105">
        <v>0</v>
      </c>
      <c r="BR49" s="116">
        <v>0</v>
      </c>
      <c r="BS49" s="105">
        <v>0</v>
      </c>
      <c r="BT49" s="105">
        <v>0</v>
      </c>
      <c r="BU49" s="105">
        <v>0</v>
      </c>
      <c r="BV49" s="117">
        <v>0</v>
      </c>
      <c r="BW49" s="110"/>
      <c r="BX49" s="107">
        <v>0</v>
      </c>
      <c r="BY49" s="105">
        <v>0</v>
      </c>
      <c r="BZ49" s="116">
        <v>0</v>
      </c>
      <c r="CA49" s="105">
        <v>0</v>
      </c>
      <c r="CB49" s="105">
        <v>0</v>
      </c>
      <c r="CC49" s="105">
        <v>0</v>
      </c>
      <c r="CD49" s="117">
        <v>0</v>
      </c>
      <c r="CE49" s="110"/>
      <c r="CF49" s="107">
        <v>0</v>
      </c>
      <c r="CG49" s="105">
        <v>0</v>
      </c>
      <c r="CH49" s="116">
        <v>0</v>
      </c>
      <c r="CI49" s="105">
        <v>0</v>
      </c>
      <c r="CJ49" s="105">
        <v>0</v>
      </c>
      <c r="CK49" s="105">
        <v>0</v>
      </c>
      <c r="CL49" s="117">
        <v>0</v>
      </c>
      <c r="CM49" s="110"/>
      <c r="CN49" s="107">
        <v>0</v>
      </c>
      <c r="CO49" s="105">
        <v>0</v>
      </c>
      <c r="CP49" s="116">
        <v>0</v>
      </c>
      <c r="CQ49" s="105">
        <v>0</v>
      </c>
      <c r="CR49" s="105">
        <v>0</v>
      </c>
      <c r="CS49" s="105">
        <v>0</v>
      </c>
      <c r="CT49" s="117">
        <v>0</v>
      </c>
      <c r="CU49" s="110"/>
      <c r="CV49" s="107">
        <v>3774</v>
      </c>
      <c r="CW49" s="105">
        <v>0</v>
      </c>
      <c r="CX49" s="116">
        <v>3774</v>
      </c>
      <c r="CY49" s="105">
        <v>0</v>
      </c>
      <c r="CZ49" s="105">
        <v>3774</v>
      </c>
      <c r="DA49" s="105">
        <v>0</v>
      </c>
      <c r="DB49" s="117">
        <v>3774</v>
      </c>
      <c r="DC49" s="110"/>
      <c r="DD49" s="107">
        <v>0</v>
      </c>
      <c r="DE49" s="105">
        <v>0</v>
      </c>
      <c r="DF49" s="116">
        <v>0</v>
      </c>
      <c r="DG49" s="105">
        <v>0</v>
      </c>
      <c r="DH49" s="105">
        <v>0</v>
      </c>
      <c r="DI49" s="105">
        <v>0</v>
      </c>
      <c r="DJ49" s="117">
        <v>0</v>
      </c>
      <c r="DK49" s="110"/>
      <c r="DL49" s="107">
        <v>0</v>
      </c>
      <c r="DM49" s="105">
        <v>0</v>
      </c>
      <c r="DN49" s="116">
        <v>0</v>
      </c>
      <c r="DO49" s="105">
        <v>0</v>
      </c>
      <c r="DP49" s="105">
        <v>0</v>
      </c>
      <c r="DQ49" s="105">
        <v>0</v>
      </c>
      <c r="DR49" s="117">
        <v>0</v>
      </c>
      <c r="DS49" s="110"/>
      <c r="DT49" s="107">
        <v>0</v>
      </c>
      <c r="DU49" s="105">
        <v>0</v>
      </c>
      <c r="DV49" s="116">
        <v>0</v>
      </c>
      <c r="DW49" s="105">
        <v>0</v>
      </c>
      <c r="DX49" s="105">
        <v>0</v>
      </c>
      <c r="DY49" s="105">
        <v>0</v>
      </c>
      <c r="DZ49" s="117">
        <v>0</v>
      </c>
      <c r="EA49" s="110"/>
      <c r="EB49" s="170">
        <v>0</v>
      </c>
      <c r="EC49" s="105">
        <v>0</v>
      </c>
      <c r="ED49" s="105">
        <v>0</v>
      </c>
      <c r="EE49" s="105">
        <v>0</v>
      </c>
      <c r="EF49" s="117">
        <v>0</v>
      </c>
    </row>
    <row r="50" spans="1:136" ht="15" customHeight="1" outlineLevel="1" x14ac:dyDescent="0.25">
      <c r="A50" s="77" t="s">
        <v>62</v>
      </c>
      <c r="B50" s="105"/>
      <c r="C50" s="105"/>
      <c r="D50" s="107">
        <v>0</v>
      </c>
      <c r="E50" s="441">
        <f t="shared" si="0"/>
        <v>0</v>
      </c>
      <c r="F50" s="462">
        <v>0</v>
      </c>
      <c r="G50" s="462">
        <v>0</v>
      </c>
      <c r="H50" s="462">
        <v>0</v>
      </c>
      <c r="I50" s="462">
        <f t="shared" si="2"/>
        <v>0</v>
      </c>
      <c r="J50" s="117">
        <v>0</v>
      </c>
      <c r="K50" s="105"/>
      <c r="L50" s="107">
        <v>0</v>
      </c>
      <c r="M50" s="441">
        <v>0</v>
      </c>
      <c r="N50" s="441">
        <v>0</v>
      </c>
      <c r="O50" s="441">
        <v>0</v>
      </c>
      <c r="P50" s="462">
        <v>0</v>
      </c>
      <c r="Q50" s="462">
        <f t="shared" si="3"/>
        <v>0</v>
      </c>
      <c r="R50" s="117">
        <v>0</v>
      </c>
      <c r="S50" s="105"/>
      <c r="T50" s="107">
        <v>0</v>
      </c>
      <c r="U50" s="441">
        <v>0</v>
      </c>
      <c r="V50" s="462">
        <v>0</v>
      </c>
      <c r="W50" s="441">
        <v>0</v>
      </c>
      <c r="X50" s="462">
        <v>0</v>
      </c>
      <c r="Y50" s="441">
        <v>0</v>
      </c>
      <c r="Z50" s="117">
        <v>0</v>
      </c>
      <c r="AA50" s="105"/>
      <c r="AB50" s="107">
        <v>0</v>
      </c>
      <c r="AC50" s="105">
        <v>0</v>
      </c>
      <c r="AD50" s="116">
        <v>0</v>
      </c>
      <c r="AE50" s="105">
        <v>0</v>
      </c>
      <c r="AF50" s="105">
        <v>0</v>
      </c>
      <c r="AG50" s="105">
        <v>0</v>
      </c>
      <c r="AH50" s="117">
        <v>0</v>
      </c>
      <c r="AI50" s="105"/>
      <c r="AJ50" s="107">
        <v>0</v>
      </c>
      <c r="AK50" s="105">
        <v>0</v>
      </c>
      <c r="AL50" s="116">
        <v>0</v>
      </c>
      <c r="AM50" s="105">
        <v>0</v>
      </c>
      <c r="AN50" s="105">
        <v>0</v>
      </c>
      <c r="AO50" s="105">
        <v>0</v>
      </c>
      <c r="AP50" s="117">
        <v>0</v>
      </c>
      <c r="AQ50" s="105"/>
      <c r="AR50" s="107">
        <v>0</v>
      </c>
      <c r="AS50" s="105">
        <v>0</v>
      </c>
      <c r="AT50" s="116">
        <v>0</v>
      </c>
      <c r="AU50" s="105">
        <v>0</v>
      </c>
      <c r="AV50" s="105">
        <v>0</v>
      </c>
      <c r="AW50" s="105">
        <v>0</v>
      </c>
      <c r="AX50" s="117">
        <v>0</v>
      </c>
      <c r="AY50" s="105"/>
      <c r="AZ50" s="107">
        <v>0</v>
      </c>
      <c r="BA50" s="105">
        <v>0</v>
      </c>
      <c r="BB50" s="116">
        <v>0</v>
      </c>
      <c r="BC50" s="105">
        <v>0</v>
      </c>
      <c r="BD50" s="105">
        <v>0</v>
      </c>
      <c r="BE50" s="105">
        <v>0</v>
      </c>
      <c r="BF50" s="117">
        <v>0</v>
      </c>
      <c r="BG50" s="105"/>
      <c r="BH50" s="107">
        <v>0</v>
      </c>
      <c r="BI50" s="105">
        <v>0</v>
      </c>
      <c r="BJ50" s="116">
        <v>0</v>
      </c>
      <c r="BK50" s="105">
        <v>0</v>
      </c>
      <c r="BL50" s="105">
        <v>0</v>
      </c>
      <c r="BM50" s="105">
        <v>0</v>
      </c>
      <c r="BN50" s="117">
        <v>0</v>
      </c>
      <c r="BO50" s="77"/>
      <c r="BP50" s="107">
        <v>0</v>
      </c>
      <c r="BQ50" s="105">
        <v>0</v>
      </c>
      <c r="BR50" s="116">
        <v>0</v>
      </c>
      <c r="BS50" s="105">
        <v>0</v>
      </c>
      <c r="BT50" s="105">
        <v>0</v>
      </c>
      <c r="BU50" s="105">
        <v>0</v>
      </c>
      <c r="BV50" s="117">
        <v>0</v>
      </c>
      <c r="BW50" s="110"/>
      <c r="BX50" s="107">
        <v>0</v>
      </c>
      <c r="BY50" s="105">
        <v>0</v>
      </c>
      <c r="BZ50" s="116">
        <v>0</v>
      </c>
      <c r="CA50" s="105">
        <v>0</v>
      </c>
      <c r="CB50" s="105">
        <v>0</v>
      </c>
      <c r="CC50" s="105">
        <v>0</v>
      </c>
      <c r="CD50" s="117">
        <v>0</v>
      </c>
      <c r="CE50" s="110"/>
      <c r="CF50" s="107">
        <v>0</v>
      </c>
      <c r="CG50" s="105">
        <v>366</v>
      </c>
      <c r="CH50" s="116">
        <v>366</v>
      </c>
      <c r="CI50" s="105">
        <v>0</v>
      </c>
      <c r="CJ50" s="105">
        <v>366</v>
      </c>
      <c r="CK50" s="105">
        <v>0</v>
      </c>
      <c r="CL50" s="117">
        <v>366</v>
      </c>
      <c r="CM50" s="110"/>
      <c r="CN50" s="107">
        <v>0</v>
      </c>
      <c r="CO50" s="105">
        <v>0</v>
      </c>
      <c r="CP50" s="116">
        <v>0</v>
      </c>
      <c r="CQ50" s="105">
        <v>0</v>
      </c>
      <c r="CR50" s="105">
        <v>0</v>
      </c>
      <c r="CS50" s="105">
        <v>0</v>
      </c>
      <c r="CT50" s="117">
        <v>0</v>
      </c>
      <c r="CU50" s="110"/>
      <c r="CV50" s="107">
        <v>280</v>
      </c>
      <c r="CW50" s="105">
        <v>35</v>
      </c>
      <c r="CX50" s="116">
        <v>315</v>
      </c>
      <c r="CY50" s="105">
        <v>0</v>
      </c>
      <c r="CZ50" s="105">
        <v>315</v>
      </c>
      <c r="DA50" s="105">
        <v>-1</v>
      </c>
      <c r="DB50" s="117">
        <v>314</v>
      </c>
      <c r="DC50" s="110"/>
      <c r="DD50" s="107">
        <v>0</v>
      </c>
      <c r="DE50" s="105">
        <v>0</v>
      </c>
      <c r="DF50" s="116">
        <v>0</v>
      </c>
      <c r="DG50" s="105">
        <v>0</v>
      </c>
      <c r="DH50" s="105">
        <v>0</v>
      </c>
      <c r="DI50" s="105">
        <v>0</v>
      </c>
      <c r="DJ50" s="117">
        <v>0</v>
      </c>
      <c r="DK50" s="110"/>
      <c r="DL50" s="107">
        <v>0</v>
      </c>
      <c r="DM50" s="105">
        <v>0</v>
      </c>
      <c r="DN50" s="116">
        <v>0</v>
      </c>
      <c r="DO50" s="105">
        <v>0</v>
      </c>
      <c r="DP50" s="105">
        <v>0</v>
      </c>
      <c r="DQ50" s="105">
        <v>0</v>
      </c>
      <c r="DR50" s="117">
        <v>0</v>
      </c>
      <c r="DS50" s="110"/>
      <c r="DT50" s="107">
        <v>0</v>
      </c>
      <c r="DU50" s="105">
        <v>0</v>
      </c>
      <c r="DV50" s="116">
        <v>0</v>
      </c>
      <c r="DW50" s="105">
        <v>0</v>
      </c>
      <c r="DX50" s="105">
        <v>0</v>
      </c>
      <c r="DY50" s="105">
        <v>0</v>
      </c>
      <c r="DZ50" s="117">
        <v>0</v>
      </c>
      <c r="EA50" s="110"/>
      <c r="EB50" s="170">
        <v>0</v>
      </c>
      <c r="EC50" s="105">
        <v>0</v>
      </c>
      <c r="ED50" s="105">
        <v>0</v>
      </c>
      <c r="EE50" s="105">
        <v>0</v>
      </c>
      <c r="EF50" s="117">
        <v>0</v>
      </c>
    </row>
    <row r="51" spans="1:136" ht="15" customHeight="1" outlineLevel="1" x14ac:dyDescent="0.25">
      <c r="A51" s="77" t="s">
        <v>63</v>
      </c>
      <c r="B51" s="105"/>
      <c r="C51" s="105"/>
      <c r="D51" s="107">
        <v>0</v>
      </c>
      <c r="E51" s="441">
        <f t="shared" si="0"/>
        <v>0</v>
      </c>
      <c r="F51" s="462">
        <v>0</v>
      </c>
      <c r="G51" s="462">
        <v>0</v>
      </c>
      <c r="H51" s="462">
        <v>0</v>
      </c>
      <c r="I51" s="462">
        <f t="shared" si="2"/>
        <v>0</v>
      </c>
      <c r="J51" s="117">
        <v>0</v>
      </c>
      <c r="K51" s="105"/>
      <c r="L51" s="107">
        <v>0</v>
      </c>
      <c r="M51" s="441">
        <v>0</v>
      </c>
      <c r="N51" s="441">
        <v>0</v>
      </c>
      <c r="O51" s="441">
        <v>0</v>
      </c>
      <c r="P51" s="462">
        <v>0</v>
      </c>
      <c r="Q51" s="462">
        <f t="shared" si="3"/>
        <v>0</v>
      </c>
      <c r="R51" s="117">
        <v>0</v>
      </c>
      <c r="S51" s="105"/>
      <c r="T51" s="107">
        <v>0</v>
      </c>
      <c r="U51" s="441">
        <v>0</v>
      </c>
      <c r="V51" s="462">
        <v>0</v>
      </c>
      <c r="W51" s="441">
        <v>0</v>
      </c>
      <c r="X51" s="462">
        <v>0</v>
      </c>
      <c r="Y51" s="441">
        <v>0</v>
      </c>
      <c r="Z51" s="117">
        <v>0</v>
      </c>
      <c r="AA51" s="105"/>
      <c r="AB51" s="107">
        <v>0</v>
      </c>
      <c r="AC51" s="105">
        <v>0</v>
      </c>
      <c r="AD51" s="116">
        <v>0</v>
      </c>
      <c r="AE51" s="105">
        <v>0</v>
      </c>
      <c r="AF51" s="105">
        <v>0</v>
      </c>
      <c r="AG51" s="105">
        <v>0</v>
      </c>
      <c r="AH51" s="117">
        <v>0</v>
      </c>
      <c r="AI51" s="105"/>
      <c r="AJ51" s="107">
        <v>0</v>
      </c>
      <c r="AK51" s="105">
        <v>0</v>
      </c>
      <c r="AL51" s="116">
        <v>0</v>
      </c>
      <c r="AM51" s="105">
        <v>0</v>
      </c>
      <c r="AN51" s="105">
        <v>0</v>
      </c>
      <c r="AO51" s="105">
        <v>0</v>
      </c>
      <c r="AP51" s="117">
        <v>0</v>
      </c>
      <c r="AQ51" s="105"/>
      <c r="AR51" s="107">
        <v>0</v>
      </c>
      <c r="AS51" s="105">
        <v>0</v>
      </c>
      <c r="AT51" s="116">
        <v>0</v>
      </c>
      <c r="AU51" s="105">
        <v>0</v>
      </c>
      <c r="AV51" s="105">
        <v>0</v>
      </c>
      <c r="AW51" s="105">
        <v>0</v>
      </c>
      <c r="AX51" s="117">
        <v>0</v>
      </c>
      <c r="AY51" s="105"/>
      <c r="AZ51" s="107">
        <v>0</v>
      </c>
      <c r="BA51" s="105">
        <v>0</v>
      </c>
      <c r="BB51" s="116">
        <v>0</v>
      </c>
      <c r="BC51" s="105">
        <v>0</v>
      </c>
      <c r="BD51" s="105">
        <v>0</v>
      </c>
      <c r="BE51" s="105">
        <v>0</v>
      </c>
      <c r="BF51" s="117">
        <v>0</v>
      </c>
      <c r="BG51" s="105"/>
      <c r="BH51" s="107">
        <v>0</v>
      </c>
      <c r="BI51" s="105">
        <v>0</v>
      </c>
      <c r="BJ51" s="116">
        <v>0</v>
      </c>
      <c r="BK51" s="105">
        <v>0</v>
      </c>
      <c r="BL51" s="105">
        <v>0</v>
      </c>
      <c r="BM51" s="105">
        <v>0</v>
      </c>
      <c r="BN51" s="117">
        <v>0</v>
      </c>
      <c r="BO51" s="77"/>
      <c r="BP51" s="107">
        <v>0</v>
      </c>
      <c r="BQ51" s="105">
        <v>0</v>
      </c>
      <c r="BR51" s="116">
        <v>0</v>
      </c>
      <c r="BS51" s="105">
        <v>0</v>
      </c>
      <c r="BT51" s="105">
        <v>0</v>
      </c>
      <c r="BU51" s="105">
        <v>0</v>
      </c>
      <c r="BV51" s="117">
        <v>0</v>
      </c>
      <c r="BW51" s="110"/>
      <c r="BX51" s="107">
        <v>0</v>
      </c>
      <c r="BY51" s="105">
        <v>0</v>
      </c>
      <c r="BZ51" s="116">
        <v>0</v>
      </c>
      <c r="CA51" s="105">
        <v>0</v>
      </c>
      <c r="CB51" s="105">
        <v>0</v>
      </c>
      <c r="CC51" s="105">
        <v>0</v>
      </c>
      <c r="CD51" s="117">
        <v>0</v>
      </c>
      <c r="CE51" s="110"/>
      <c r="CF51" s="107">
        <v>0</v>
      </c>
      <c r="CG51" s="105">
        <v>0</v>
      </c>
      <c r="CH51" s="116">
        <v>0</v>
      </c>
      <c r="CI51" s="105">
        <v>0</v>
      </c>
      <c r="CJ51" s="105">
        <v>0</v>
      </c>
      <c r="CK51" s="105">
        <v>0</v>
      </c>
      <c r="CL51" s="117">
        <v>0</v>
      </c>
      <c r="CM51" s="110"/>
      <c r="CN51" s="107">
        <v>0</v>
      </c>
      <c r="CO51" s="105">
        <v>0</v>
      </c>
      <c r="CP51" s="116">
        <v>0</v>
      </c>
      <c r="CQ51" s="105">
        <v>0</v>
      </c>
      <c r="CR51" s="105">
        <v>0</v>
      </c>
      <c r="CS51" s="105">
        <v>0</v>
      </c>
      <c r="CT51" s="117">
        <v>0</v>
      </c>
      <c r="CU51" s="110"/>
      <c r="CV51" s="107">
        <v>0</v>
      </c>
      <c r="CW51" s="105">
        <v>0</v>
      </c>
      <c r="CX51" s="116">
        <v>0</v>
      </c>
      <c r="CY51" s="105">
        <v>0</v>
      </c>
      <c r="CZ51" s="105">
        <v>0</v>
      </c>
      <c r="DA51" s="105">
        <v>0</v>
      </c>
      <c r="DB51" s="117">
        <v>0</v>
      </c>
      <c r="DC51" s="110"/>
      <c r="DD51" s="107">
        <v>0</v>
      </c>
      <c r="DE51" s="105">
        <v>0</v>
      </c>
      <c r="DF51" s="116">
        <v>0</v>
      </c>
      <c r="DG51" s="105">
        <v>0</v>
      </c>
      <c r="DH51" s="105">
        <v>0</v>
      </c>
      <c r="DI51" s="105">
        <v>0</v>
      </c>
      <c r="DJ51" s="117">
        <v>0</v>
      </c>
      <c r="DK51" s="110"/>
      <c r="DL51" s="107">
        <v>0</v>
      </c>
      <c r="DM51" s="105">
        <v>0</v>
      </c>
      <c r="DN51" s="116">
        <v>0</v>
      </c>
      <c r="DO51" s="105">
        <v>0</v>
      </c>
      <c r="DP51" s="105">
        <v>0</v>
      </c>
      <c r="DQ51" s="105">
        <v>0</v>
      </c>
      <c r="DR51" s="117">
        <v>0</v>
      </c>
      <c r="DS51" s="110"/>
      <c r="DT51" s="107">
        <v>0</v>
      </c>
      <c r="DU51" s="105">
        <v>0</v>
      </c>
      <c r="DV51" s="116">
        <v>0</v>
      </c>
      <c r="DW51" s="105">
        <v>0</v>
      </c>
      <c r="DX51" s="105">
        <v>0</v>
      </c>
      <c r="DY51" s="105">
        <v>0</v>
      </c>
      <c r="DZ51" s="117">
        <v>0</v>
      </c>
      <c r="EA51" s="110"/>
      <c r="EB51" s="170">
        <v>0</v>
      </c>
      <c r="EC51" s="105">
        <v>0</v>
      </c>
      <c r="ED51" s="105">
        <v>0</v>
      </c>
      <c r="EE51" s="105">
        <v>0</v>
      </c>
      <c r="EF51" s="117">
        <v>0</v>
      </c>
    </row>
    <row r="52" spans="1:136" ht="15" customHeight="1" outlineLevel="1" x14ac:dyDescent="0.25">
      <c r="A52" s="77" t="s">
        <v>64</v>
      </c>
      <c r="B52" s="105"/>
      <c r="C52" s="105"/>
      <c r="D52" s="107">
        <v>0</v>
      </c>
      <c r="E52" s="441">
        <f t="shared" si="0"/>
        <v>0</v>
      </c>
      <c r="F52" s="462">
        <v>0</v>
      </c>
      <c r="G52" s="462">
        <v>0</v>
      </c>
      <c r="H52" s="462">
        <v>0</v>
      </c>
      <c r="I52" s="441">
        <f t="shared" si="2"/>
        <v>0</v>
      </c>
      <c r="J52" s="106">
        <v>0</v>
      </c>
      <c r="K52" s="105"/>
      <c r="L52" s="107">
        <v>0</v>
      </c>
      <c r="M52" s="441">
        <v>0</v>
      </c>
      <c r="N52" s="441">
        <v>0</v>
      </c>
      <c r="O52" s="441">
        <v>0</v>
      </c>
      <c r="P52" s="441">
        <v>0</v>
      </c>
      <c r="Q52" s="441">
        <f t="shared" si="3"/>
        <v>0</v>
      </c>
      <c r="R52" s="106">
        <v>0</v>
      </c>
      <c r="S52" s="105"/>
      <c r="T52" s="107">
        <v>0</v>
      </c>
      <c r="U52" s="441">
        <v>0</v>
      </c>
      <c r="V52" s="441">
        <v>0</v>
      </c>
      <c r="W52" s="441">
        <v>0</v>
      </c>
      <c r="X52" s="441">
        <v>0</v>
      </c>
      <c r="Y52" s="441">
        <v>0</v>
      </c>
      <c r="Z52" s="106">
        <v>0</v>
      </c>
      <c r="AA52" s="105"/>
      <c r="AB52" s="107">
        <v>0</v>
      </c>
      <c r="AC52" s="105">
        <v>0</v>
      </c>
      <c r="AD52" s="105">
        <v>0</v>
      </c>
      <c r="AE52" s="105">
        <v>0</v>
      </c>
      <c r="AF52" s="105">
        <v>0</v>
      </c>
      <c r="AG52" s="105">
        <v>0</v>
      </c>
      <c r="AH52" s="106">
        <v>0</v>
      </c>
      <c r="AI52" s="105"/>
      <c r="AJ52" s="107">
        <v>0</v>
      </c>
      <c r="AK52" s="105">
        <v>0</v>
      </c>
      <c r="AL52" s="105">
        <v>0</v>
      </c>
      <c r="AM52" s="105">
        <v>0</v>
      </c>
      <c r="AN52" s="105">
        <v>0</v>
      </c>
      <c r="AO52" s="105">
        <v>0</v>
      </c>
      <c r="AP52" s="106">
        <v>0</v>
      </c>
      <c r="AQ52" s="105"/>
      <c r="AR52" s="107">
        <v>0</v>
      </c>
      <c r="AS52" s="105">
        <v>0</v>
      </c>
      <c r="AT52" s="105">
        <v>0</v>
      </c>
      <c r="AU52" s="105">
        <v>0</v>
      </c>
      <c r="AV52" s="105">
        <v>0</v>
      </c>
      <c r="AW52" s="105">
        <v>0</v>
      </c>
      <c r="AX52" s="106">
        <v>0</v>
      </c>
      <c r="AY52" s="105"/>
      <c r="AZ52" s="107">
        <v>0</v>
      </c>
      <c r="BA52" s="105">
        <v>0</v>
      </c>
      <c r="BB52" s="105">
        <v>0</v>
      </c>
      <c r="BC52" s="105">
        <v>0</v>
      </c>
      <c r="BD52" s="105">
        <v>0</v>
      </c>
      <c r="BE52" s="105">
        <v>0</v>
      </c>
      <c r="BF52" s="106">
        <v>0</v>
      </c>
      <c r="BG52" s="105"/>
      <c r="BH52" s="107">
        <v>0</v>
      </c>
      <c r="BI52" s="105">
        <v>0</v>
      </c>
      <c r="BJ52" s="105">
        <v>0</v>
      </c>
      <c r="BK52" s="105">
        <v>0</v>
      </c>
      <c r="BL52" s="105">
        <v>0</v>
      </c>
      <c r="BM52" s="105">
        <v>0</v>
      </c>
      <c r="BN52" s="106">
        <v>0</v>
      </c>
      <c r="BO52" s="77"/>
      <c r="BP52" s="107">
        <v>0</v>
      </c>
      <c r="BQ52" s="105">
        <v>0</v>
      </c>
      <c r="BR52" s="105">
        <v>0</v>
      </c>
      <c r="BS52" s="105">
        <v>0</v>
      </c>
      <c r="BT52" s="105">
        <v>0</v>
      </c>
      <c r="BU52" s="105">
        <v>0</v>
      </c>
      <c r="BV52" s="106">
        <v>0</v>
      </c>
      <c r="BW52" s="110"/>
      <c r="BX52" s="107">
        <v>0</v>
      </c>
      <c r="BY52" s="105">
        <v>0</v>
      </c>
      <c r="BZ52" s="105">
        <v>0</v>
      </c>
      <c r="CA52" s="105">
        <v>0</v>
      </c>
      <c r="CB52" s="105">
        <v>0</v>
      </c>
      <c r="CC52" s="105">
        <v>0</v>
      </c>
      <c r="CD52" s="106">
        <v>0</v>
      </c>
      <c r="CE52" s="110"/>
      <c r="CF52" s="107">
        <v>0</v>
      </c>
      <c r="CG52" s="105">
        <v>0</v>
      </c>
      <c r="CH52" s="105">
        <v>0</v>
      </c>
      <c r="CI52" s="105">
        <v>0</v>
      </c>
      <c r="CJ52" s="105">
        <v>0</v>
      </c>
      <c r="CK52" s="105">
        <v>0</v>
      </c>
      <c r="CL52" s="106">
        <v>0</v>
      </c>
      <c r="CM52" s="110"/>
      <c r="CN52" s="107">
        <v>0</v>
      </c>
      <c r="CO52" s="105">
        <v>0</v>
      </c>
      <c r="CP52" s="105">
        <v>0</v>
      </c>
      <c r="CQ52" s="105">
        <v>0</v>
      </c>
      <c r="CR52" s="105">
        <v>0</v>
      </c>
      <c r="CS52" s="105">
        <v>0</v>
      </c>
      <c r="CT52" s="106">
        <v>0</v>
      </c>
      <c r="CU52" s="110"/>
      <c r="CV52" s="107">
        <v>0</v>
      </c>
      <c r="CW52" s="105">
        <v>0</v>
      </c>
      <c r="CX52" s="105">
        <v>0</v>
      </c>
      <c r="CY52" s="105">
        <v>0</v>
      </c>
      <c r="CZ52" s="105">
        <v>0</v>
      </c>
      <c r="DA52" s="105">
        <v>0</v>
      </c>
      <c r="DB52" s="106">
        <v>0</v>
      </c>
      <c r="DC52" s="110"/>
      <c r="DD52" s="107">
        <v>0</v>
      </c>
      <c r="DE52" s="105">
        <v>0</v>
      </c>
      <c r="DF52" s="105">
        <v>0</v>
      </c>
      <c r="DG52" s="105">
        <v>0</v>
      </c>
      <c r="DH52" s="105">
        <v>0</v>
      </c>
      <c r="DI52" s="105">
        <v>0</v>
      </c>
      <c r="DJ52" s="106">
        <v>0</v>
      </c>
      <c r="DK52" s="110"/>
      <c r="DL52" s="107">
        <v>0</v>
      </c>
      <c r="DM52" s="105">
        <v>0</v>
      </c>
      <c r="DN52" s="105">
        <v>0</v>
      </c>
      <c r="DO52" s="105">
        <v>0</v>
      </c>
      <c r="DP52" s="105">
        <v>0</v>
      </c>
      <c r="DQ52" s="105">
        <v>0</v>
      </c>
      <c r="DR52" s="106">
        <v>0</v>
      </c>
      <c r="DS52" s="110"/>
      <c r="DT52" s="107">
        <v>0</v>
      </c>
      <c r="DU52" s="105">
        <v>0</v>
      </c>
      <c r="DV52" s="105">
        <v>0</v>
      </c>
      <c r="DW52" s="105">
        <v>0</v>
      </c>
      <c r="DX52" s="105">
        <v>0</v>
      </c>
      <c r="DY52" s="105">
        <v>0</v>
      </c>
      <c r="DZ52" s="106">
        <v>0</v>
      </c>
      <c r="EA52" s="110"/>
      <c r="EB52" s="107">
        <v>0</v>
      </c>
      <c r="EC52" s="105">
        <v>0</v>
      </c>
      <c r="ED52" s="105">
        <v>0</v>
      </c>
      <c r="EE52" s="105">
        <v>0</v>
      </c>
      <c r="EF52" s="106">
        <v>0</v>
      </c>
    </row>
    <row r="53" spans="1:136" ht="15" customHeight="1" outlineLevel="1" x14ac:dyDescent="0.25">
      <c r="A53" s="42" t="s">
        <v>197</v>
      </c>
      <c r="B53" s="105"/>
      <c r="C53" s="105"/>
      <c r="D53" s="107">
        <v>0</v>
      </c>
      <c r="E53" s="441">
        <f t="shared" si="0"/>
        <v>0</v>
      </c>
      <c r="F53" s="462">
        <v>0</v>
      </c>
      <c r="G53" s="462">
        <v>0</v>
      </c>
      <c r="H53" s="462">
        <v>0</v>
      </c>
      <c r="I53" s="462">
        <f t="shared" si="2"/>
        <v>0</v>
      </c>
      <c r="J53" s="117">
        <v>0</v>
      </c>
      <c r="K53" s="105"/>
      <c r="L53" s="107"/>
      <c r="M53" s="441"/>
      <c r="N53" s="441"/>
      <c r="O53" s="441"/>
      <c r="P53" s="462"/>
      <c r="Q53" s="462"/>
      <c r="R53" s="117"/>
      <c r="S53" s="105"/>
      <c r="T53" s="107"/>
      <c r="U53" s="441"/>
      <c r="V53" s="462"/>
      <c r="W53" s="441"/>
      <c r="X53" s="462"/>
      <c r="Y53" s="441"/>
      <c r="Z53" s="117"/>
      <c r="AA53" s="105"/>
      <c r="AB53" s="107"/>
      <c r="AC53" s="105"/>
      <c r="AD53" s="116"/>
      <c r="AE53" s="105"/>
      <c r="AF53" s="105"/>
      <c r="AG53" s="105"/>
      <c r="AH53" s="117"/>
      <c r="AI53" s="105"/>
      <c r="AJ53" s="107"/>
      <c r="AK53" s="105"/>
      <c r="AL53" s="116"/>
      <c r="AM53" s="105"/>
      <c r="AN53" s="105"/>
      <c r="AO53" s="105"/>
      <c r="AP53" s="117"/>
      <c r="AQ53" s="105"/>
      <c r="AR53" s="107"/>
      <c r="AS53" s="105"/>
      <c r="AT53" s="116"/>
      <c r="AU53" s="105"/>
      <c r="AV53" s="105"/>
      <c r="AW53" s="105"/>
      <c r="AX53" s="117"/>
      <c r="AY53" s="105"/>
      <c r="AZ53" s="107"/>
      <c r="BA53" s="105"/>
      <c r="BB53" s="116"/>
      <c r="BC53" s="105"/>
      <c r="BD53" s="105"/>
      <c r="BE53" s="105"/>
      <c r="BF53" s="117"/>
      <c r="BG53" s="105"/>
      <c r="BH53" s="107"/>
      <c r="BI53" s="105"/>
      <c r="BJ53" s="116"/>
      <c r="BK53" s="105"/>
      <c r="BL53" s="105"/>
      <c r="BM53" s="105"/>
      <c r="BN53" s="117"/>
      <c r="BO53" s="77"/>
      <c r="BP53" s="107"/>
      <c r="BQ53" s="105"/>
      <c r="BR53" s="116"/>
      <c r="BS53" s="105"/>
      <c r="BT53" s="105"/>
      <c r="BU53" s="105"/>
      <c r="BV53" s="117"/>
      <c r="BW53" s="110"/>
      <c r="BX53" s="107"/>
      <c r="BY53" s="105"/>
      <c r="BZ53" s="116"/>
      <c r="CA53" s="105"/>
      <c r="CB53" s="105"/>
      <c r="CC53" s="105"/>
      <c r="CD53" s="117"/>
      <c r="CE53" s="110"/>
      <c r="CF53" s="107"/>
      <c r="CG53" s="105"/>
      <c r="CH53" s="116"/>
      <c r="CI53" s="105"/>
      <c r="CJ53" s="105"/>
      <c r="CK53" s="105"/>
      <c r="CL53" s="117"/>
      <c r="CM53" s="110"/>
      <c r="CN53" s="107"/>
      <c r="CO53" s="105"/>
      <c r="CP53" s="116"/>
      <c r="CQ53" s="105"/>
      <c r="CR53" s="105"/>
      <c r="CS53" s="105"/>
      <c r="CT53" s="117"/>
      <c r="CU53" s="110"/>
      <c r="CV53" s="107"/>
      <c r="CW53" s="105"/>
      <c r="CX53" s="116"/>
      <c r="CY53" s="105"/>
      <c r="CZ53" s="105"/>
      <c r="DA53" s="105"/>
      <c r="DB53" s="117"/>
      <c r="DC53" s="110"/>
      <c r="DD53" s="107"/>
      <c r="DE53" s="105"/>
      <c r="DF53" s="116"/>
      <c r="DG53" s="105"/>
      <c r="DH53" s="105"/>
      <c r="DI53" s="105"/>
      <c r="DJ53" s="117"/>
      <c r="DK53" s="110"/>
      <c r="DL53" s="107"/>
      <c r="DM53" s="105"/>
      <c r="DN53" s="116"/>
      <c r="DO53" s="105"/>
      <c r="DP53" s="105"/>
      <c r="DQ53" s="105"/>
      <c r="DR53" s="117"/>
      <c r="DS53" s="110"/>
      <c r="DT53" s="107"/>
      <c r="DU53" s="105"/>
      <c r="DV53" s="105"/>
      <c r="DW53" s="105"/>
      <c r="DX53" s="105"/>
      <c r="DY53" s="105"/>
      <c r="DZ53" s="117"/>
      <c r="EA53" s="110"/>
      <c r="EB53" s="170"/>
      <c r="EC53" s="105"/>
      <c r="ED53" s="116"/>
      <c r="EE53" s="105"/>
      <c r="EF53" s="117"/>
    </row>
    <row r="54" spans="1:136" ht="17.25" customHeight="1" outlineLevel="1" x14ac:dyDescent="0.4">
      <c r="A54" s="77" t="s">
        <v>34</v>
      </c>
      <c r="B54" s="112"/>
      <c r="C54" s="112"/>
      <c r="D54" s="111">
        <v>53</v>
      </c>
      <c r="E54" s="461">
        <f t="shared" si="0"/>
        <v>-26</v>
      </c>
      <c r="F54" s="461">
        <v>27</v>
      </c>
      <c r="G54" s="461">
        <f t="shared" si="1"/>
        <v>1077.1219999999998</v>
      </c>
      <c r="H54" s="461">
        <v>1104.1219999999998</v>
      </c>
      <c r="I54" s="461">
        <f t="shared" si="2"/>
        <v>15.878000000000156</v>
      </c>
      <c r="J54" s="113">
        <f>267+853</f>
        <v>1120</v>
      </c>
      <c r="K54" s="112"/>
      <c r="L54" s="111">
        <v>4</v>
      </c>
      <c r="M54" s="461">
        <v>64</v>
      </c>
      <c r="N54" s="461">
        <v>68</v>
      </c>
      <c r="O54" s="461">
        <v>55</v>
      </c>
      <c r="P54" s="461">
        <v>123</v>
      </c>
      <c r="Q54" s="461">
        <f t="shared" si="3"/>
        <v>176</v>
      </c>
      <c r="R54" s="113">
        <v>299</v>
      </c>
      <c r="S54" s="112"/>
      <c r="T54" s="111">
        <v>5</v>
      </c>
      <c r="U54" s="461">
        <v>12</v>
      </c>
      <c r="V54" s="461">
        <v>17</v>
      </c>
      <c r="W54" s="461">
        <v>109</v>
      </c>
      <c r="X54" s="461">
        <v>126</v>
      </c>
      <c r="Y54" s="461">
        <v>28</v>
      </c>
      <c r="Z54" s="113">
        <v>154</v>
      </c>
      <c r="AA54" s="112"/>
      <c r="AB54" s="111">
        <v>0</v>
      </c>
      <c r="AC54" s="112">
        <v>-26</v>
      </c>
      <c r="AD54" s="112">
        <v>-26</v>
      </c>
      <c r="AE54" s="112">
        <v>62</v>
      </c>
      <c r="AF54" s="112">
        <v>36</v>
      </c>
      <c r="AG54" s="112">
        <v>144</v>
      </c>
      <c r="AH54" s="113">
        <v>180</v>
      </c>
      <c r="AI54" s="112"/>
      <c r="AJ54" s="111">
        <v>0</v>
      </c>
      <c r="AK54" s="112">
        <v>0</v>
      </c>
      <c r="AL54" s="112">
        <v>0</v>
      </c>
      <c r="AM54" s="112">
        <v>0</v>
      </c>
      <c r="AN54" s="112">
        <v>0</v>
      </c>
      <c r="AO54" s="112">
        <v>0</v>
      </c>
      <c r="AP54" s="113">
        <v>0</v>
      </c>
      <c r="AQ54" s="112"/>
      <c r="AR54" s="111">
        <v>0</v>
      </c>
      <c r="AS54" s="112">
        <v>0</v>
      </c>
      <c r="AT54" s="112">
        <v>0</v>
      </c>
      <c r="AU54" s="112">
        <v>0</v>
      </c>
      <c r="AV54" s="112">
        <v>0</v>
      </c>
      <c r="AW54" s="112">
        <v>0</v>
      </c>
      <c r="AX54" s="113">
        <v>0</v>
      </c>
      <c r="AY54" s="112"/>
      <c r="AZ54" s="111">
        <v>0</v>
      </c>
      <c r="BA54" s="112">
        <v>0</v>
      </c>
      <c r="BB54" s="112">
        <v>0</v>
      </c>
      <c r="BC54" s="112">
        <v>0</v>
      </c>
      <c r="BD54" s="112">
        <v>0</v>
      </c>
      <c r="BE54" s="112">
        <v>0</v>
      </c>
      <c r="BF54" s="113">
        <v>0</v>
      </c>
      <c r="BG54" s="112"/>
      <c r="BH54" s="111">
        <v>0</v>
      </c>
      <c r="BI54" s="112">
        <v>0</v>
      </c>
      <c r="BJ54" s="112">
        <v>0</v>
      </c>
      <c r="BK54" s="112">
        <v>0</v>
      </c>
      <c r="BL54" s="112">
        <v>0</v>
      </c>
      <c r="BM54" s="112">
        <v>0</v>
      </c>
      <c r="BN54" s="113">
        <v>0</v>
      </c>
      <c r="BO54" s="77"/>
      <c r="BP54" s="111">
        <v>0</v>
      </c>
      <c r="BQ54" s="112">
        <v>0</v>
      </c>
      <c r="BR54" s="112">
        <v>0</v>
      </c>
      <c r="BS54" s="112">
        <v>0</v>
      </c>
      <c r="BT54" s="112">
        <v>0</v>
      </c>
      <c r="BU54" s="112">
        <v>0</v>
      </c>
      <c r="BV54" s="113">
        <v>0</v>
      </c>
      <c r="BW54" s="110"/>
      <c r="BX54" s="111">
        <v>0</v>
      </c>
      <c r="BY54" s="112">
        <v>0</v>
      </c>
      <c r="BZ54" s="112">
        <v>0</v>
      </c>
      <c r="CA54" s="112">
        <v>0</v>
      </c>
      <c r="CB54" s="112">
        <v>0</v>
      </c>
      <c r="CC54" s="112">
        <v>0</v>
      </c>
      <c r="CD54" s="113">
        <v>0</v>
      </c>
      <c r="CE54" s="110"/>
      <c r="CF54" s="111">
        <v>0</v>
      </c>
      <c r="CG54" s="112">
        <v>0</v>
      </c>
      <c r="CH54" s="112">
        <v>0</v>
      </c>
      <c r="CI54" s="112">
        <v>0</v>
      </c>
      <c r="CJ54" s="112">
        <v>0</v>
      </c>
      <c r="CK54" s="112">
        <v>0</v>
      </c>
      <c r="CL54" s="113">
        <v>0</v>
      </c>
      <c r="CM54" s="110"/>
      <c r="CN54" s="111">
        <v>0</v>
      </c>
      <c r="CO54" s="112">
        <v>0</v>
      </c>
      <c r="CP54" s="112">
        <v>0</v>
      </c>
      <c r="CQ54" s="112">
        <v>0</v>
      </c>
      <c r="CR54" s="112">
        <v>0</v>
      </c>
      <c r="CS54" s="112">
        <v>0</v>
      </c>
      <c r="CT54" s="113">
        <v>0</v>
      </c>
      <c r="CU54" s="110"/>
      <c r="CV54" s="111">
        <v>2</v>
      </c>
      <c r="CW54" s="112">
        <v>-2</v>
      </c>
      <c r="CX54" s="112">
        <v>0</v>
      </c>
      <c r="CY54" s="112">
        <v>0</v>
      </c>
      <c r="CZ54" s="112">
        <v>0</v>
      </c>
      <c r="DA54" s="112">
        <v>0</v>
      </c>
      <c r="DB54" s="113">
        <v>0</v>
      </c>
      <c r="DC54" s="110"/>
      <c r="DD54" s="111">
        <v>385</v>
      </c>
      <c r="DE54" s="112">
        <v>-917</v>
      </c>
      <c r="DF54" s="112">
        <v>-532</v>
      </c>
      <c r="DG54" s="112">
        <v>313</v>
      </c>
      <c r="DH54" s="112">
        <v>-219</v>
      </c>
      <c r="DI54" s="112">
        <v>-507</v>
      </c>
      <c r="DJ54" s="113">
        <v>-726</v>
      </c>
      <c r="DK54" s="110"/>
      <c r="DL54" s="111">
        <v>393</v>
      </c>
      <c r="DM54" s="112">
        <v>390</v>
      </c>
      <c r="DN54" s="112">
        <v>783</v>
      </c>
      <c r="DO54" s="112">
        <v>387</v>
      </c>
      <c r="DP54" s="112">
        <v>1170</v>
      </c>
      <c r="DQ54" s="112">
        <v>384</v>
      </c>
      <c r="DR54" s="113">
        <v>1554</v>
      </c>
      <c r="DS54" s="110"/>
      <c r="DT54" s="111">
        <v>-748</v>
      </c>
      <c r="DU54" s="112">
        <v>277</v>
      </c>
      <c r="DV54" s="112">
        <v>-471</v>
      </c>
      <c r="DW54" s="112">
        <v>386</v>
      </c>
      <c r="DX54" s="112">
        <v>-85</v>
      </c>
      <c r="DY54" s="112">
        <v>422</v>
      </c>
      <c r="DZ54" s="113">
        <v>337</v>
      </c>
      <c r="EA54" s="110"/>
      <c r="EB54" s="111">
        <v>526</v>
      </c>
      <c r="EC54" s="112">
        <v>546</v>
      </c>
      <c r="ED54" s="112">
        <v>1072</v>
      </c>
      <c r="EE54" s="112">
        <v>1688</v>
      </c>
      <c r="EF54" s="113">
        <v>2760</v>
      </c>
    </row>
    <row r="55" spans="1:136" s="100" customFormat="1" x14ac:dyDescent="0.25">
      <c r="A55" s="89" t="s">
        <v>65</v>
      </c>
      <c r="B55" s="103"/>
      <c r="C55" s="103"/>
      <c r="D55" s="108">
        <v>7171</v>
      </c>
      <c r="E55" s="442">
        <f t="shared" si="0"/>
        <v>6443</v>
      </c>
      <c r="F55" s="464">
        <v>13614</v>
      </c>
      <c r="G55" s="464">
        <f t="shared" si="1"/>
        <v>6457</v>
      </c>
      <c r="H55" s="464">
        <v>20071</v>
      </c>
      <c r="I55" s="464">
        <f t="shared" si="2"/>
        <v>6933.1219999999994</v>
      </c>
      <c r="J55" s="119">
        <v>27004.121999999999</v>
      </c>
      <c r="K55" s="103"/>
      <c r="L55" s="108">
        <v>6136</v>
      </c>
      <c r="M55" s="442">
        <v>6972</v>
      </c>
      <c r="N55" s="442">
        <v>13108</v>
      </c>
      <c r="O55" s="442">
        <v>7442</v>
      </c>
      <c r="P55" s="464">
        <v>20550</v>
      </c>
      <c r="Q55" s="464">
        <v>7271</v>
      </c>
      <c r="R55" s="119">
        <v>27821</v>
      </c>
      <c r="S55" s="103"/>
      <c r="T55" s="108">
        <v>6508</v>
      </c>
      <c r="U55" s="442">
        <v>7077</v>
      </c>
      <c r="V55" s="464">
        <v>13585</v>
      </c>
      <c r="W55" s="442">
        <v>6927</v>
      </c>
      <c r="X55" s="464">
        <v>20512</v>
      </c>
      <c r="Y55" s="442">
        <v>5289</v>
      </c>
      <c r="Z55" s="119">
        <v>25801</v>
      </c>
      <c r="AA55" s="103"/>
      <c r="AB55" s="108">
        <v>7214</v>
      </c>
      <c r="AC55" s="103">
        <v>7047</v>
      </c>
      <c r="AD55" s="118">
        <v>14261</v>
      </c>
      <c r="AE55" s="103">
        <v>6769</v>
      </c>
      <c r="AF55" s="118">
        <v>21030</v>
      </c>
      <c r="AG55" s="103">
        <v>7396</v>
      </c>
      <c r="AH55" s="119">
        <v>28426</v>
      </c>
      <c r="AI55" s="103"/>
      <c r="AJ55" s="108">
        <v>6740</v>
      </c>
      <c r="AK55" s="103">
        <v>7086</v>
      </c>
      <c r="AL55" s="118">
        <v>13826</v>
      </c>
      <c r="AM55" s="103">
        <v>7728</v>
      </c>
      <c r="AN55" s="118">
        <v>21554</v>
      </c>
      <c r="AO55" s="103">
        <v>7900</v>
      </c>
      <c r="AP55" s="119">
        <v>29454</v>
      </c>
      <c r="AQ55" s="103"/>
      <c r="AR55" s="108">
        <v>6492</v>
      </c>
      <c r="AS55" s="103">
        <v>7000</v>
      </c>
      <c r="AT55" s="118">
        <v>13492</v>
      </c>
      <c r="AU55" s="103">
        <v>7009</v>
      </c>
      <c r="AV55" s="118">
        <v>20501</v>
      </c>
      <c r="AW55" s="103">
        <v>6240</v>
      </c>
      <c r="AX55" s="119">
        <v>26741</v>
      </c>
      <c r="AY55" s="103"/>
      <c r="AZ55" s="108">
        <v>6721</v>
      </c>
      <c r="BA55" s="103">
        <v>6340</v>
      </c>
      <c r="BB55" s="118">
        <v>13061</v>
      </c>
      <c r="BC55" s="103">
        <v>6647</v>
      </c>
      <c r="BD55" s="118">
        <v>19708</v>
      </c>
      <c r="BE55" s="103">
        <v>6367</v>
      </c>
      <c r="BF55" s="119">
        <v>26075</v>
      </c>
      <c r="BG55" s="103"/>
      <c r="BH55" s="108">
        <v>6474</v>
      </c>
      <c r="BI55" s="103">
        <v>7495</v>
      </c>
      <c r="BJ55" s="118">
        <v>13969</v>
      </c>
      <c r="BK55" s="103">
        <v>6998</v>
      </c>
      <c r="BL55" s="118">
        <v>20967</v>
      </c>
      <c r="BM55" s="103">
        <v>6155</v>
      </c>
      <c r="BN55" s="119">
        <v>27122</v>
      </c>
      <c r="BO55" s="89"/>
      <c r="BP55" s="108">
        <v>6686</v>
      </c>
      <c r="BQ55" s="103">
        <v>6461</v>
      </c>
      <c r="BR55" s="118">
        <v>13147</v>
      </c>
      <c r="BS55" s="103">
        <v>7099</v>
      </c>
      <c r="BT55" s="118">
        <v>20246</v>
      </c>
      <c r="BU55" s="103">
        <v>6826</v>
      </c>
      <c r="BV55" s="119">
        <v>27072</v>
      </c>
      <c r="BW55" s="109"/>
      <c r="BX55" s="108">
        <v>7120</v>
      </c>
      <c r="BY55" s="103">
        <v>7401</v>
      </c>
      <c r="BZ55" s="118">
        <v>14521</v>
      </c>
      <c r="CA55" s="103">
        <v>6927</v>
      </c>
      <c r="CB55" s="118">
        <v>21448</v>
      </c>
      <c r="CC55" s="103">
        <v>6331</v>
      </c>
      <c r="CD55" s="119">
        <v>27779</v>
      </c>
      <c r="CE55" s="109"/>
      <c r="CF55" s="108">
        <v>7377</v>
      </c>
      <c r="CG55" s="103">
        <v>7526</v>
      </c>
      <c r="CH55" s="118">
        <v>14903</v>
      </c>
      <c r="CI55" s="103">
        <v>7527</v>
      </c>
      <c r="CJ55" s="118">
        <v>22430</v>
      </c>
      <c r="CK55" s="103">
        <v>6860</v>
      </c>
      <c r="CL55" s="119">
        <v>29290</v>
      </c>
      <c r="CM55" s="109"/>
      <c r="CN55" s="108">
        <v>8182</v>
      </c>
      <c r="CO55" s="103">
        <v>7952</v>
      </c>
      <c r="CP55" s="118">
        <v>16134</v>
      </c>
      <c r="CQ55" s="103">
        <v>7851</v>
      </c>
      <c r="CR55" s="118">
        <v>23985</v>
      </c>
      <c r="CS55" s="103">
        <v>7254</v>
      </c>
      <c r="CT55" s="119">
        <v>31239</v>
      </c>
      <c r="CU55" s="109"/>
      <c r="CV55" s="108">
        <v>5906</v>
      </c>
      <c r="CW55" s="103">
        <v>7423</v>
      </c>
      <c r="CX55" s="118">
        <v>13329</v>
      </c>
      <c r="CY55" s="103">
        <v>7612</v>
      </c>
      <c r="CZ55" s="118">
        <v>20941</v>
      </c>
      <c r="DA55" s="103">
        <v>7807</v>
      </c>
      <c r="DB55" s="119">
        <v>28748</v>
      </c>
      <c r="DC55" s="109"/>
      <c r="DD55" s="108">
        <v>4952</v>
      </c>
      <c r="DE55" s="103">
        <v>4400</v>
      </c>
      <c r="DF55" s="118">
        <v>9352</v>
      </c>
      <c r="DG55" s="103">
        <v>4907</v>
      </c>
      <c r="DH55" s="118">
        <v>14259</v>
      </c>
      <c r="DI55" s="103">
        <v>4989</v>
      </c>
      <c r="DJ55" s="119">
        <v>19248</v>
      </c>
      <c r="DK55" s="109"/>
      <c r="DL55" s="108">
        <v>6084</v>
      </c>
      <c r="DM55" s="103">
        <v>5761</v>
      </c>
      <c r="DN55" s="118">
        <v>11845</v>
      </c>
      <c r="DO55" s="103">
        <v>5957</v>
      </c>
      <c r="DP55" s="118">
        <v>17802</v>
      </c>
      <c r="DQ55" s="103">
        <v>5153</v>
      </c>
      <c r="DR55" s="119">
        <v>22955</v>
      </c>
      <c r="DS55" s="109"/>
      <c r="DT55" s="108">
        <v>5231</v>
      </c>
      <c r="DU55" s="103">
        <v>5268</v>
      </c>
      <c r="DV55" s="103">
        <v>10499</v>
      </c>
      <c r="DW55" s="103">
        <v>5656</v>
      </c>
      <c r="DX55" s="103">
        <v>16155</v>
      </c>
      <c r="DY55" s="103">
        <v>4953</v>
      </c>
      <c r="DZ55" s="104">
        <v>21108</v>
      </c>
      <c r="EA55" s="109"/>
      <c r="EB55" s="172">
        <v>2800</v>
      </c>
      <c r="EC55" s="103">
        <v>5164</v>
      </c>
      <c r="ED55" s="118">
        <v>7964</v>
      </c>
      <c r="EE55" s="103">
        <v>4376</v>
      </c>
      <c r="EF55" s="119">
        <v>12340</v>
      </c>
    </row>
    <row r="56" spans="1:136" x14ac:dyDescent="0.25">
      <c r="A56" s="77"/>
      <c r="B56" s="103"/>
      <c r="C56" s="103"/>
      <c r="D56" s="108"/>
      <c r="E56" s="442"/>
      <c r="F56" s="442"/>
      <c r="G56" s="442"/>
      <c r="H56" s="442"/>
      <c r="I56" s="464"/>
      <c r="J56" s="119"/>
      <c r="K56" s="103"/>
      <c r="L56" s="108"/>
      <c r="M56" s="442"/>
      <c r="N56" s="442"/>
      <c r="O56" s="442"/>
      <c r="P56" s="464"/>
      <c r="Q56" s="464"/>
      <c r="R56" s="119"/>
      <c r="S56" s="103"/>
      <c r="T56" s="108"/>
      <c r="U56" s="442"/>
      <c r="V56" s="442"/>
      <c r="W56" s="442"/>
      <c r="X56" s="464"/>
      <c r="Y56" s="464"/>
      <c r="Z56" s="119"/>
      <c r="AA56" s="103"/>
      <c r="AB56" s="108"/>
      <c r="AC56" s="442"/>
      <c r="AD56" s="442"/>
      <c r="AE56" s="442"/>
      <c r="AF56" s="464"/>
      <c r="AG56" s="464"/>
      <c r="AH56" s="119"/>
      <c r="AI56" s="103"/>
      <c r="AJ56" s="108"/>
      <c r="AK56" s="442"/>
      <c r="AL56" s="442"/>
      <c r="AM56" s="442"/>
      <c r="AN56" s="464"/>
      <c r="AO56" s="464"/>
      <c r="AP56" s="119"/>
      <c r="AQ56" s="103"/>
      <c r="AR56" s="108"/>
      <c r="AS56" s="442"/>
      <c r="AT56" s="442"/>
      <c r="AU56" s="442"/>
      <c r="AV56" s="464"/>
      <c r="AW56" s="464"/>
      <c r="AX56" s="119"/>
      <c r="AY56" s="103"/>
      <c r="AZ56" s="108"/>
      <c r="BA56" s="442"/>
      <c r="BB56" s="442"/>
      <c r="BC56" s="442"/>
      <c r="BD56" s="464"/>
      <c r="BE56" s="464"/>
      <c r="BF56" s="119"/>
      <c r="BG56" s="103"/>
      <c r="BH56" s="108"/>
      <c r="BI56" s="442"/>
      <c r="BJ56" s="442"/>
      <c r="BK56" s="442"/>
      <c r="BL56" s="464"/>
      <c r="BM56" s="464"/>
      <c r="BN56" s="119"/>
      <c r="BO56" s="77"/>
      <c r="BP56" s="108"/>
      <c r="BQ56" s="442"/>
      <c r="BR56" s="442"/>
      <c r="BS56" s="442"/>
      <c r="BT56" s="464"/>
      <c r="BU56" s="464"/>
      <c r="BV56" s="119"/>
      <c r="BW56" s="77"/>
      <c r="BX56" s="108"/>
      <c r="BY56" s="442"/>
      <c r="BZ56" s="442"/>
      <c r="CA56" s="442"/>
      <c r="CB56" s="464"/>
      <c r="CC56" s="464"/>
      <c r="CD56" s="119"/>
      <c r="CE56" s="77"/>
      <c r="CF56" s="108"/>
      <c r="CG56" s="442"/>
      <c r="CH56" s="442"/>
      <c r="CI56" s="442"/>
      <c r="CJ56" s="464"/>
      <c r="CK56" s="464"/>
      <c r="CL56" s="119"/>
      <c r="CM56" s="77"/>
      <c r="CN56" s="108"/>
      <c r="CO56" s="442"/>
      <c r="CP56" s="442"/>
      <c r="CQ56" s="442"/>
      <c r="CR56" s="464"/>
      <c r="CS56" s="464"/>
      <c r="CT56" s="119"/>
      <c r="CU56" s="77"/>
      <c r="CV56" s="108"/>
      <c r="CW56" s="442"/>
      <c r="CX56" s="442"/>
      <c r="CY56" s="442"/>
      <c r="CZ56" s="464"/>
      <c r="DA56" s="464"/>
      <c r="DB56" s="119"/>
      <c r="DC56" s="77"/>
      <c r="DD56" s="108"/>
      <c r="DE56" s="442"/>
      <c r="DF56" s="442"/>
      <c r="DG56" s="442"/>
      <c r="DH56" s="464"/>
      <c r="DI56" s="464"/>
      <c r="DJ56" s="119"/>
      <c r="DK56" s="77"/>
      <c r="DL56" s="108"/>
      <c r="DM56" s="442"/>
      <c r="DN56" s="442"/>
      <c r="DO56" s="442"/>
      <c r="DP56" s="464"/>
      <c r="DQ56" s="464"/>
      <c r="DR56" s="119"/>
      <c r="DS56" s="77"/>
      <c r="DT56" s="108"/>
      <c r="DU56" s="442"/>
      <c r="DV56" s="442"/>
      <c r="DW56" s="442"/>
      <c r="DX56" s="464"/>
      <c r="DY56" s="464"/>
      <c r="DZ56" s="119"/>
      <c r="EA56" s="77"/>
      <c r="EB56" s="108"/>
      <c r="EC56" s="442"/>
      <c r="ED56" s="442"/>
      <c r="EE56" s="442"/>
      <c r="EF56" s="119"/>
    </row>
    <row r="57" spans="1:136" x14ac:dyDescent="0.25">
      <c r="A57" s="77"/>
      <c r="B57" s="103"/>
      <c r="C57" s="103"/>
      <c r="D57" s="108"/>
      <c r="E57" s="442"/>
      <c r="F57" s="442"/>
      <c r="G57" s="442"/>
      <c r="H57" s="442"/>
      <c r="I57" s="442"/>
      <c r="J57" s="104"/>
      <c r="K57" s="103"/>
      <c r="L57" s="108"/>
      <c r="M57" s="442"/>
      <c r="N57" s="442"/>
      <c r="O57" s="442"/>
      <c r="P57" s="442"/>
      <c r="Q57" s="442"/>
      <c r="R57" s="104"/>
      <c r="S57" s="103"/>
      <c r="T57" s="108"/>
      <c r="U57" s="110"/>
      <c r="V57" s="110"/>
      <c r="W57" s="110"/>
      <c r="X57" s="110"/>
      <c r="Y57" s="110"/>
      <c r="Z57" s="120"/>
      <c r="AA57" s="103"/>
      <c r="AB57" s="108"/>
      <c r="AC57" s="110"/>
      <c r="AD57" s="110"/>
      <c r="AE57" s="110"/>
      <c r="AF57" s="110"/>
      <c r="AG57" s="110"/>
      <c r="AH57" s="120"/>
      <c r="AI57" s="103"/>
      <c r="AJ57" s="108"/>
      <c r="AK57" s="110"/>
      <c r="AL57" s="110"/>
      <c r="AM57" s="110"/>
      <c r="AN57" s="110"/>
      <c r="AO57" s="110"/>
      <c r="AP57" s="120"/>
      <c r="AQ57" s="103"/>
      <c r="AR57" s="108"/>
      <c r="AS57" s="110"/>
      <c r="AT57" s="110"/>
      <c r="AU57" s="110"/>
      <c r="AV57" s="110"/>
      <c r="AW57" s="110"/>
      <c r="AX57" s="120"/>
      <c r="AY57" s="103"/>
      <c r="AZ57" s="108"/>
      <c r="BA57" s="110"/>
      <c r="BB57" s="110"/>
      <c r="BC57" s="110"/>
      <c r="BD57" s="110"/>
      <c r="BE57" s="110"/>
      <c r="BF57" s="120"/>
      <c r="BG57" s="103"/>
      <c r="BH57" s="108"/>
      <c r="BI57" s="110"/>
      <c r="BJ57" s="110"/>
      <c r="BK57" s="110"/>
      <c r="BL57" s="110"/>
      <c r="BM57" s="110"/>
      <c r="BN57" s="120"/>
      <c r="BO57" s="77"/>
      <c r="BP57" s="108"/>
      <c r="BQ57" s="110"/>
      <c r="BR57" s="110"/>
      <c r="BS57" s="110"/>
      <c r="BT57" s="110"/>
      <c r="BU57" s="110"/>
      <c r="BV57" s="120"/>
      <c r="BW57" s="77"/>
      <c r="BX57" s="108"/>
      <c r="BY57" s="110"/>
      <c r="BZ57" s="110"/>
      <c r="CA57" s="110"/>
      <c r="CB57" s="110"/>
      <c r="CC57" s="110"/>
      <c r="CD57" s="120"/>
      <c r="CE57" s="77"/>
      <c r="CF57" s="108"/>
      <c r="CG57" s="110"/>
      <c r="CH57" s="110"/>
      <c r="CI57" s="110"/>
      <c r="CJ57" s="110"/>
      <c r="CK57" s="110"/>
      <c r="CL57" s="120"/>
      <c r="CM57" s="77"/>
      <c r="CN57" s="108"/>
      <c r="CO57" s="110"/>
      <c r="CP57" s="110"/>
      <c r="CQ57" s="110"/>
      <c r="CR57" s="110"/>
      <c r="CS57" s="110"/>
      <c r="CT57" s="120"/>
      <c r="CU57" s="77"/>
      <c r="CV57" s="108"/>
      <c r="CW57" s="110"/>
      <c r="CX57" s="110"/>
      <c r="CY57" s="110"/>
      <c r="CZ57" s="110"/>
      <c r="DA57" s="110"/>
      <c r="DB57" s="120"/>
      <c r="DC57" s="77"/>
      <c r="DD57" s="108"/>
      <c r="DE57" s="110"/>
      <c r="DF57" s="110"/>
      <c r="DG57" s="110"/>
      <c r="DH57" s="110"/>
      <c r="DI57" s="110"/>
      <c r="DJ57" s="120"/>
      <c r="DK57" s="77"/>
      <c r="DL57" s="108"/>
      <c r="DM57" s="110"/>
      <c r="DN57" s="110"/>
      <c r="DO57" s="110"/>
      <c r="DP57" s="110"/>
      <c r="DQ57" s="110"/>
      <c r="DR57" s="120"/>
      <c r="DS57" s="77"/>
      <c r="DT57" s="108"/>
      <c r="DU57" s="110"/>
      <c r="DV57" s="110"/>
      <c r="DW57" s="110"/>
      <c r="DX57" s="110"/>
      <c r="DY57" s="110"/>
      <c r="DZ57" s="120"/>
      <c r="EA57" s="77"/>
      <c r="EB57" s="171"/>
      <c r="EC57" s="110"/>
      <c r="ED57" s="110"/>
      <c r="EE57" s="110"/>
      <c r="EF57" s="120"/>
    </row>
    <row r="58" spans="1:136" s="100" customFormat="1" x14ac:dyDescent="0.25">
      <c r="A58" s="89" t="s">
        <v>25</v>
      </c>
      <c r="B58" s="103"/>
      <c r="C58" s="103"/>
      <c r="D58" s="108">
        <v>94391</v>
      </c>
      <c r="E58" s="442">
        <v>88340</v>
      </c>
      <c r="F58" s="442"/>
      <c r="G58" s="442"/>
      <c r="H58" s="442">
        <v>90120</v>
      </c>
      <c r="I58" s="442"/>
      <c r="J58" s="104">
        <v>89786</v>
      </c>
      <c r="K58" s="103"/>
      <c r="L58" s="108">
        <v>91294</v>
      </c>
      <c r="M58" s="442">
        <v>91122</v>
      </c>
      <c r="N58" s="442"/>
      <c r="O58" s="442">
        <v>91224</v>
      </c>
      <c r="P58" s="442"/>
      <c r="Q58" s="442">
        <v>91597</v>
      </c>
      <c r="R58" s="104"/>
      <c r="S58" s="103"/>
      <c r="T58" s="108">
        <v>93556</v>
      </c>
      <c r="U58" s="464">
        <v>94104</v>
      </c>
      <c r="V58" s="464"/>
      <c r="W58" s="464">
        <v>93591</v>
      </c>
      <c r="X58" s="464"/>
      <c r="Y58" s="464">
        <v>94198</v>
      </c>
      <c r="Z58" s="119"/>
      <c r="AA58" s="103"/>
      <c r="AB58" s="108">
        <v>84898</v>
      </c>
      <c r="AC58" s="118">
        <v>88980</v>
      </c>
      <c r="AD58" s="118"/>
      <c r="AE58" s="118">
        <v>90623</v>
      </c>
      <c r="AF58" s="118"/>
      <c r="AG58" s="118">
        <v>90901</v>
      </c>
      <c r="AH58" s="119"/>
      <c r="AI58" s="103"/>
      <c r="AJ58" s="108">
        <v>79953</v>
      </c>
      <c r="AK58" s="118">
        <v>82394</v>
      </c>
      <c r="AL58" s="118"/>
      <c r="AM58" s="118">
        <v>81739</v>
      </c>
      <c r="AN58" s="118"/>
      <c r="AO58" s="118">
        <v>80625</v>
      </c>
      <c r="AP58" s="119"/>
      <c r="AQ58" s="103"/>
      <c r="AR58" s="108">
        <v>81144</v>
      </c>
      <c r="AS58" s="118">
        <v>79896</v>
      </c>
      <c r="AT58" s="118"/>
      <c r="AU58" s="118">
        <v>80480</v>
      </c>
      <c r="AV58" s="118"/>
      <c r="AW58" s="118">
        <v>79773</v>
      </c>
      <c r="AX58" s="119"/>
      <c r="AY58" s="103"/>
      <c r="AZ58" s="108">
        <v>82494</v>
      </c>
      <c r="BA58" s="118">
        <v>83939</v>
      </c>
      <c r="BB58" s="118"/>
      <c r="BC58" s="118">
        <v>81739</v>
      </c>
      <c r="BD58" s="118"/>
      <c r="BE58" s="118">
        <v>80868</v>
      </c>
      <c r="BF58" s="119"/>
      <c r="BG58" s="103"/>
      <c r="BH58" s="108">
        <v>81580</v>
      </c>
      <c r="BI58" s="118">
        <v>81426</v>
      </c>
      <c r="BJ58" s="118"/>
      <c r="BK58" s="118">
        <v>80198</v>
      </c>
      <c r="BL58" s="118"/>
      <c r="BM58" s="118">
        <v>80567</v>
      </c>
      <c r="BN58" s="119"/>
      <c r="BO58" s="89"/>
      <c r="BP58" s="108">
        <v>84430</v>
      </c>
      <c r="BQ58" s="118">
        <v>83327</v>
      </c>
      <c r="BR58" s="118"/>
      <c r="BS58" s="118">
        <v>82157</v>
      </c>
      <c r="BT58" s="118"/>
      <c r="BU58" s="118">
        <v>82074</v>
      </c>
      <c r="BV58" s="119"/>
      <c r="BW58" s="109"/>
      <c r="BX58" s="108">
        <v>91293</v>
      </c>
      <c r="BY58" s="118">
        <v>86198</v>
      </c>
      <c r="BZ58" s="118"/>
      <c r="CA58" s="118">
        <v>86466</v>
      </c>
      <c r="CB58" s="118"/>
      <c r="CC58" s="118">
        <v>84710</v>
      </c>
      <c r="CD58" s="119"/>
      <c r="CE58" s="109"/>
      <c r="CF58" s="108">
        <v>88277</v>
      </c>
      <c r="CG58" s="118">
        <v>92191</v>
      </c>
      <c r="CH58" s="118"/>
      <c r="CI58" s="118">
        <v>88787</v>
      </c>
      <c r="CJ58" s="118"/>
      <c r="CK58" s="118">
        <v>91357</v>
      </c>
      <c r="CL58" s="119"/>
      <c r="CM58" s="109"/>
      <c r="CN58" s="108">
        <v>91975</v>
      </c>
      <c r="CO58" s="118">
        <v>90091</v>
      </c>
      <c r="CP58" s="118"/>
      <c r="CQ58" s="118">
        <v>89240</v>
      </c>
      <c r="CR58" s="118"/>
      <c r="CS58" s="118">
        <v>88692</v>
      </c>
      <c r="CT58" s="119"/>
      <c r="CU58" s="109"/>
      <c r="CV58" s="108">
        <v>92931</v>
      </c>
      <c r="CW58" s="118">
        <v>92501</v>
      </c>
      <c r="CX58" s="118"/>
      <c r="CY58" s="118">
        <v>92193</v>
      </c>
      <c r="CZ58" s="118"/>
      <c r="DA58" s="118">
        <v>91961</v>
      </c>
      <c r="DB58" s="119"/>
      <c r="DC58" s="109"/>
      <c r="DD58" s="108">
        <v>72882</v>
      </c>
      <c r="DE58" s="118">
        <v>72310</v>
      </c>
      <c r="DF58" s="118"/>
      <c r="DG58" s="118">
        <v>70948</v>
      </c>
      <c r="DH58" s="118"/>
      <c r="DI58" s="118">
        <v>74628</v>
      </c>
      <c r="DJ58" s="119"/>
      <c r="DK58" s="109"/>
      <c r="DL58" s="108">
        <v>76228</v>
      </c>
      <c r="DM58" s="118">
        <v>75900</v>
      </c>
      <c r="DN58" s="118"/>
      <c r="DO58" s="118">
        <v>76081</v>
      </c>
      <c r="DP58" s="118"/>
      <c r="DQ58" s="118">
        <v>73951</v>
      </c>
      <c r="DR58" s="119"/>
      <c r="DS58" s="109"/>
      <c r="DT58" s="108">
        <v>78925</v>
      </c>
      <c r="DU58" s="118">
        <v>78702</v>
      </c>
      <c r="DV58" s="103"/>
      <c r="DW58" s="103">
        <v>78955</v>
      </c>
      <c r="DX58" s="118"/>
      <c r="DY58" s="103">
        <v>77404</v>
      </c>
      <c r="DZ58" s="119"/>
      <c r="EA58" s="109"/>
      <c r="EB58" s="172">
        <v>77837</v>
      </c>
      <c r="EC58" s="103">
        <v>77856</v>
      </c>
      <c r="ED58" s="118"/>
      <c r="EE58" s="103">
        <v>77932</v>
      </c>
      <c r="EF58" s="119"/>
    </row>
    <row r="59" spans="1:136" s="100" customFormat="1" ht="7.5" customHeight="1" x14ac:dyDescent="0.25">
      <c r="A59" s="89"/>
      <c r="B59" s="103"/>
      <c r="C59" s="103"/>
      <c r="D59" s="108"/>
      <c r="E59" s="442"/>
      <c r="F59" s="442"/>
      <c r="G59" s="442"/>
      <c r="H59" s="442"/>
      <c r="I59" s="442"/>
      <c r="J59" s="104">
        <v>0</v>
      </c>
      <c r="K59" s="103"/>
      <c r="L59" s="108"/>
      <c r="M59" s="442"/>
      <c r="N59" s="442"/>
      <c r="O59" s="442"/>
      <c r="P59" s="442"/>
      <c r="Q59" s="442"/>
      <c r="R59" s="104"/>
      <c r="S59" s="103"/>
      <c r="T59" s="108"/>
      <c r="U59" s="464"/>
      <c r="V59" s="464"/>
      <c r="W59" s="464"/>
      <c r="X59" s="464"/>
      <c r="Y59" s="464"/>
      <c r="Z59" s="119"/>
      <c r="AA59" s="103"/>
      <c r="AB59" s="108"/>
      <c r="AC59" s="118"/>
      <c r="AD59" s="118"/>
      <c r="AE59" s="109"/>
      <c r="AF59" s="118"/>
      <c r="AG59" s="118"/>
      <c r="AH59" s="119"/>
      <c r="AI59" s="103"/>
      <c r="AJ59" s="108"/>
      <c r="AK59" s="118"/>
      <c r="AL59" s="118"/>
      <c r="AM59" s="109"/>
      <c r="AN59" s="118"/>
      <c r="AO59" s="118"/>
      <c r="AP59" s="119"/>
      <c r="AQ59" s="103"/>
      <c r="AR59" s="108"/>
      <c r="AS59" s="118"/>
      <c r="AT59" s="118"/>
      <c r="AU59" s="109"/>
      <c r="AV59" s="118"/>
      <c r="AW59" s="118"/>
      <c r="AX59" s="119"/>
      <c r="AY59" s="103"/>
      <c r="AZ59" s="108"/>
      <c r="BA59" s="118"/>
      <c r="BB59" s="118"/>
      <c r="BC59" s="109"/>
      <c r="BD59" s="118"/>
      <c r="BE59" s="118"/>
      <c r="BF59" s="119"/>
      <c r="BG59" s="103"/>
      <c r="BH59" s="108"/>
      <c r="BI59" s="118"/>
      <c r="BJ59" s="118"/>
      <c r="BK59" s="109"/>
      <c r="BL59" s="118"/>
      <c r="BM59" s="118"/>
      <c r="BN59" s="119"/>
      <c r="BO59" s="89"/>
      <c r="BP59" s="108"/>
      <c r="BQ59" s="118"/>
      <c r="BR59" s="118"/>
      <c r="BS59" s="109"/>
      <c r="BT59" s="118"/>
      <c r="BU59" s="118"/>
      <c r="BV59" s="119"/>
      <c r="BW59" s="110"/>
      <c r="BX59" s="108"/>
      <c r="BY59" s="118"/>
      <c r="BZ59" s="118"/>
      <c r="CA59" s="109"/>
      <c r="CB59" s="118"/>
      <c r="CC59" s="118"/>
      <c r="CD59" s="119"/>
      <c r="CE59" s="110"/>
      <c r="CF59" s="108"/>
      <c r="CG59" s="118"/>
      <c r="CH59" s="118"/>
      <c r="CI59" s="109"/>
      <c r="CJ59" s="118"/>
      <c r="CK59" s="118"/>
      <c r="CL59" s="119"/>
      <c r="CM59" s="110"/>
      <c r="CN59" s="108"/>
      <c r="CO59" s="118"/>
      <c r="CP59" s="118"/>
      <c r="CQ59" s="109"/>
      <c r="CR59" s="118"/>
      <c r="CS59" s="118"/>
      <c r="CT59" s="119"/>
      <c r="CU59" s="110"/>
      <c r="CV59" s="108"/>
      <c r="CW59" s="118"/>
      <c r="CX59" s="118"/>
      <c r="CY59" s="109"/>
      <c r="CZ59" s="118"/>
      <c r="DA59" s="118"/>
      <c r="DB59" s="119"/>
      <c r="DC59" s="110"/>
      <c r="DD59" s="108"/>
      <c r="DE59" s="118"/>
      <c r="DF59" s="118"/>
      <c r="DG59" s="109"/>
      <c r="DH59" s="118"/>
      <c r="DI59" s="118"/>
      <c r="DJ59" s="119"/>
      <c r="DK59" s="110"/>
      <c r="DL59" s="108"/>
      <c r="DM59" s="118"/>
      <c r="DN59" s="118"/>
      <c r="DO59" s="109"/>
      <c r="DP59" s="118"/>
      <c r="DQ59" s="118"/>
      <c r="DR59" s="119"/>
      <c r="DS59" s="110"/>
      <c r="DT59" s="108"/>
      <c r="DU59" s="118"/>
      <c r="DV59" s="118"/>
      <c r="DW59" s="118"/>
      <c r="DX59" s="118"/>
      <c r="DY59" s="118"/>
      <c r="DZ59" s="119"/>
      <c r="EA59" s="110"/>
      <c r="EB59" s="172"/>
      <c r="EC59" s="118"/>
      <c r="ED59" s="118"/>
      <c r="EE59" s="118"/>
      <c r="EF59" s="119"/>
    </row>
    <row r="60" spans="1:136" ht="15" customHeight="1" outlineLevel="1" x14ac:dyDescent="0.25">
      <c r="A60" s="77" t="s">
        <v>26</v>
      </c>
      <c r="B60" s="105"/>
      <c r="C60" s="105"/>
      <c r="D60" s="107">
        <v>79845</v>
      </c>
      <c r="E60" s="441">
        <v>73869</v>
      </c>
      <c r="F60" s="441"/>
      <c r="G60" s="441"/>
      <c r="H60" s="441">
        <v>72926</v>
      </c>
      <c r="I60" s="441"/>
      <c r="J60" s="106">
        <v>69366</v>
      </c>
      <c r="K60" s="105"/>
      <c r="L60" s="107">
        <v>92423</v>
      </c>
      <c r="M60" s="441">
        <v>89286</v>
      </c>
      <c r="N60" s="441"/>
      <c r="O60" s="441">
        <v>86221</v>
      </c>
      <c r="P60" s="441"/>
      <c r="Q60" s="441">
        <v>82601</v>
      </c>
      <c r="R60" s="106"/>
      <c r="S60" s="105"/>
      <c r="T60" s="107">
        <v>61374</v>
      </c>
      <c r="U60" s="462">
        <v>54788</v>
      </c>
      <c r="V60" s="441"/>
      <c r="W60" s="441">
        <v>51367</v>
      </c>
      <c r="X60" s="441"/>
      <c r="Y60" s="441">
        <v>98330</v>
      </c>
      <c r="Z60" s="106"/>
      <c r="AA60" s="105"/>
      <c r="AB60" s="107">
        <v>72130</v>
      </c>
      <c r="AC60" s="116">
        <v>69300</v>
      </c>
      <c r="AD60" s="105"/>
      <c r="AE60" s="116">
        <v>66809</v>
      </c>
      <c r="AF60" s="105"/>
      <c r="AG60" s="116">
        <v>62685</v>
      </c>
      <c r="AH60" s="106"/>
      <c r="AI60" s="105"/>
      <c r="AJ60" s="107">
        <v>88380</v>
      </c>
      <c r="AK60" s="116">
        <v>86090</v>
      </c>
      <c r="AL60" s="105"/>
      <c r="AM60" s="116">
        <v>82807</v>
      </c>
      <c r="AN60" s="105"/>
      <c r="AO60" s="116">
        <v>76716</v>
      </c>
      <c r="AP60" s="106"/>
      <c r="AQ60" s="105"/>
      <c r="AR60" s="107">
        <v>102366</v>
      </c>
      <c r="AS60" s="116">
        <v>98878</v>
      </c>
      <c r="AT60" s="105"/>
      <c r="AU60" s="116">
        <v>95611</v>
      </c>
      <c r="AV60" s="105"/>
      <c r="AW60" s="116">
        <v>91990</v>
      </c>
      <c r="AX60" s="106"/>
      <c r="AY60" s="105"/>
      <c r="AZ60" s="107">
        <v>54224</v>
      </c>
      <c r="BA60" s="116">
        <v>112872</v>
      </c>
      <c r="BB60" s="105"/>
      <c r="BC60" s="116">
        <v>109011</v>
      </c>
      <c r="BD60" s="105"/>
      <c r="BE60" s="116">
        <v>105350</v>
      </c>
      <c r="BF60" s="106"/>
      <c r="BG60" s="105"/>
      <c r="BH60" s="107">
        <v>68367</v>
      </c>
      <c r="BI60" s="116">
        <v>63976</v>
      </c>
      <c r="BJ60" s="105"/>
      <c r="BK60" s="116">
        <v>59796</v>
      </c>
      <c r="BL60" s="105"/>
      <c r="BM60" s="116">
        <v>55863</v>
      </c>
      <c r="BN60" s="106"/>
      <c r="BO60" s="77"/>
      <c r="BP60" s="107">
        <v>83367</v>
      </c>
      <c r="BQ60" s="116">
        <v>80183</v>
      </c>
      <c r="BR60" s="105"/>
      <c r="BS60" s="116">
        <v>76297</v>
      </c>
      <c r="BT60" s="105"/>
      <c r="BU60" s="116">
        <v>71623</v>
      </c>
      <c r="BV60" s="106"/>
      <c r="BW60" s="110"/>
      <c r="BX60" s="107">
        <v>99026</v>
      </c>
      <c r="BY60" s="116">
        <v>92644</v>
      </c>
      <c r="BZ60" s="105"/>
      <c r="CA60" s="116">
        <v>89933</v>
      </c>
      <c r="CB60" s="105"/>
      <c r="CC60" s="116">
        <v>86020</v>
      </c>
      <c r="CD60" s="106"/>
      <c r="CE60" s="110"/>
      <c r="CF60" s="107">
        <v>62590</v>
      </c>
      <c r="CG60" s="116">
        <v>61018</v>
      </c>
      <c r="CH60" s="105"/>
      <c r="CI60" s="116">
        <v>57770</v>
      </c>
      <c r="CJ60" s="105"/>
      <c r="CK60" s="116">
        <v>101590</v>
      </c>
      <c r="CL60" s="106"/>
      <c r="CM60" s="110"/>
      <c r="CN60" s="107">
        <v>80136</v>
      </c>
      <c r="CO60" s="116">
        <v>76059</v>
      </c>
      <c r="CP60" s="105"/>
      <c r="CQ60" s="116">
        <v>71247</v>
      </c>
      <c r="CR60" s="105"/>
      <c r="CS60" s="116">
        <v>67173</v>
      </c>
      <c r="CT60" s="106"/>
      <c r="CU60" s="110"/>
      <c r="CV60" s="107">
        <v>59149</v>
      </c>
      <c r="CW60" s="116">
        <v>54258</v>
      </c>
      <c r="CX60" s="105"/>
      <c r="CY60" s="116">
        <v>48363</v>
      </c>
      <c r="CZ60" s="105"/>
      <c r="DA60" s="116">
        <v>84481</v>
      </c>
      <c r="DB60" s="106"/>
      <c r="DC60" s="110"/>
      <c r="DD60" s="107">
        <v>57906</v>
      </c>
      <c r="DE60" s="116">
        <v>55979</v>
      </c>
      <c r="DF60" s="105"/>
      <c r="DG60" s="116">
        <v>51808</v>
      </c>
      <c r="DH60" s="105"/>
      <c r="DI60" s="116">
        <v>48601</v>
      </c>
      <c r="DJ60" s="106"/>
      <c r="DK60" s="110"/>
      <c r="DL60" s="107">
        <v>70321</v>
      </c>
      <c r="DM60" s="116">
        <v>66840</v>
      </c>
      <c r="DN60" s="105"/>
      <c r="DO60" s="116">
        <v>64336</v>
      </c>
      <c r="DP60" s="105"/>
      <c r="DQ60" s="116">
        <v>60911</v>
      </c>
      <c r="DR60" s="106"/>
      <c r="DS60" s="110"/>
      <c r="DT60" s="107">
        <v>34131</v>
      </c>
      <c r="DU60" s="105">
        <v>32169</v>
      </c>
      <c r="DV60" s="105"/>
      <c r="DW60" s="105">
        <v>29633</v>
      </c>
      <c r="DX60" s="105"/>
      <c r="DY60" s="105">
        <v>71435</v>
      </c>
      <c r="DZ60" s="106"/>
      <c r="EA60" s="110"/>
      <c r="EB60" s="107">
        <v>42606</v>
      </c>
      <c r="EC60" s="103">
        <v>39566</v>
      </c>
      <c r="ED60" s="105"/>
      <c r="EE60" s="103">
        <v>36482</v>
      </c>
      <c r="EF60" s="106"/>
    </row>
    <row r="61" spans="1:136" s="158" customFormat="1" ht="15" customHeight="1" outlineLevel="1" x14ac:dyDescent="0.25">
      <c r="A61" s="77" t="s">
        <v>28</v>
      </c>
      <c r="B61" s="155"/>
      <c r="C61" s="155"/>
      <c r="D61" s="154">
        <v>31101</v>
      </c>
      <c r="E61" s="460">
        <v>27510</v>
      </c>
      <c r="F61" s="460"/>
      <c r="G61" s="460"/>
      <c r="H61" s="460">
        <v>27683</v>
      </c>
      <c r="I61" s="460"/>
      <c r="J61" s="156">
        <v>27340</v>
      </c>
      <c r="K61" s="155"/>
      <c r="L61" s="154">
        <v>30979</v>
      </c>
      <c r="M61" s="460">
        <v>30088</v>
      </c>
      <c r="N61" s="460"/>
      <c r="O61" s="460">
        <v>29310</v>
      </c>
      <c r="P61" s="460"/>
      <c r="Q61" s="460">
        <v>29367</v>
      </c>
      <c r="R61" s="156"/>
      <c r="S61" s="155"/>
      <c r="T61" s="154">
        <v>30090</v>
      </c>
      <c r="U61" s="463">
        <v>32428</v>
      </c>
      <c r="V61" s="460"/>
      <c r="W61" s="460">
        <v>31545</v>
      </c>
      <c r="X61" s="460"/>
      <c r="Y61" s="460">
        <v>30983</v>
      </c>
      <c r="Z61" s="156"/>
      <c r="AA61" s="155"/>
      <c r="AB61" s="154">
        <v>25209</v>
      </c>
      <c r="AC61" s="190">
        <v>28167</v>
      </c>
      <c r="AD61" s="155"/>
      <c r="AE61" s="190">
        <v>28723</v>
      </c>
      <c r="AF61" s="155"/>
      <c r="AG61" s="190">
        <v>29067</v>
      </c>
      <c r="AH61" s="156"/>
      <c r="AI61" s="155"/>
      <c r="AJ61" s="154">
        <v>19652</v>
      </c>
      <c r="AK61" s="190">
        <v>20526</v>
      </c>
      <c r="AL61" s="155"/>
      <c r="AM61" s="190">
        <v>19472</v>
      </c>
      <c r="AN61" s="155"/>
      <c r="AO61" s="190">
        <v>20060</v>
      </c>
      <c r="AP61" s="156"/>
      <c r="AQ61" s="155"/>
      <c r="AR61" s="154">
        <v>24617</v>
      </c>
      <c r="AS61" s="190">
        <v>23662</v>
      </c>
      <c r="AT61" s="155"/>
      <c r="AU61" s="190">
        <v>24742</v>
      </c>
      <c r="AV61" s="155"/>
      <c r="AW61" s="190">
        <v>18986</v>
      </c>
      <c r="AX61" s="156"/>
      <c r="AY61" s="155"/>
      <c r="AZ61" s="154">
        <v>23102</v>
      </c>
      <c r="BA61" s="190">
        <v>23981</v>
      </c>
      <c r="BB61" s="155"/>
      <c r="BC61" s="190">
        <v>23461</v>
      </c>
      <c r="BD61" s="155"/>
      <c r="BE61" s="190">
        <v>24248</v>
      </c>
      <c r="BF61" s="156"/>
      <c r="BG61" s="155"/>
      <c r="BH61" s="154">
        <v>20271</v>
      </c>
      <c r="BI61" s="190">
        <v>21081</v>
      </c>
      <c r="BJ61" s="155"/>
      <c r="BK61" s="190">
        <v>20884</v>
      </c>
      <c r="BL61" s="155"/>
      <c r="BM61" s="190">
        <v>22605</v>
      </c>
      <c r="BN61" s="156"/>
      <c r="BO61" s="115"/>
      <c r="BP61" s="154">
        <v>19534</v>
      </c>
      <c r="BQ61" s="190">
        <v>19222</v>
      </c>
      <c r="BR61" s="155"/>
      <c r="BS61" s="190">
        <v>19281</v>
      </c>
      <c r="BT61" s="155"/>
      <c r="BU61" s="190">
        <v>20244</v>
      </c>
      <c r="BV61" s="156"/>
      <c r="BW61" s="157"/>
      <c r="BX61" s="154">
        <v>20232</v>
      </c>
      <c r="BY61" s="190">
        <v>18705</v>
      </c>
      <c r="BZ61" s="155"/>
      <c r="CA61" s="190">
        <v>19520</v>
      </c>
      <c r="CB61" s="155"/>
      <c r="CC61" s="190">
        <v>19607</v>
      </c>
      <c r="CD61" s="156"/>
      <c r="CE61" s="157"/>
      <c r="CF61" s="154">
        <v>19902</v>
      </c>
      <c r="CG61" s="190">
        <v>22411</v>
      </c>
      <c r="CH61" s="155"/>
      <c r="CI61" s="190">
        <v>18946</v>
      </c>
      <c r="CJ61" s="155"/>
      <c r="CK61" s="190">
        <v>19874</v>
      </c>
      <c r="CL61" s="156"/>
      <c r="CM61" s="157"/>
      <c r="CN61" s="154">
        <v>19076</v>
      </c>
      <c r="CO61" s="190">
        <v>17688</v>
      </c>
      <c r="CP61" s="155"/>
      <c r="CQ61" s="190">
        <v>18288</v>
      </c>
      <c r="CR61" s="155"/>
      <c r="CS61" s="190">
        <v>18875</v>
      </c>
      <c r="CT61" s="156"/>
      <c r="CU61" s="157"/>
      <c r="CV61" s="154">
        <v>14337</v>
      </c>
      <c r="CW61" s="190">
        <v>15189</v>
      </c>
      <c r="CX61" s="155"/>
      <c r="CY61" s="190">
        <v>16947</v>
      </c>
      <c r="CZ61" s="155"/>
      <c r="DA61" s="190">
        <v>18070</v>
      </c>
      <c r="DB61" s="156"/>
      <c r="DC61" s="157"/>
      <c r="DD61" s="154">
        <v>12489</v>
      </c>
      <c r="DE61" s="190">
        <v>11589</v>
      </c>
      <c r="DF61" s="155"/>
      <c r="DG61" s="190">
        <v>12575</v>
      </c>
      <c r="DH61" s="155"/>
      <c r="DI61" s="190">
        <v>16218</v>
      </c>
      <c r="DJ61" s="156"/>
      <c r="DK61" s="157"/>
      <c r="DL61" s="154">
        <v>10877</v>
      </c>
      <c r="DM61" s="190">
        <v>12138</v>
      </c>
      <c r="DN61" s="155"/>
      <c r="DO61" s="190">
        <v>12535</v>
      </c>
      <c r="DP61" s="155"/>
      <c r="DQ61" s="190">
        <v>12258</v>
      </c>
      <c r="DR61" s="156"/>
      <c r="DS61" s="157"/>
      <c r="DT61" s="154">
        <v>10975</v>
      </c>
      <c r="DU61" s="155">
        <v>9936</v>
      </c>
      <c r="DV61" s="155"/>
      <c r="DW61" s="155">
        <v>10566</v>
      </c>
      <c r="DX61" s="155"/>
      <c r="DY61" s="155">
        <v>11826</v>
      </c>
      <c r="DZ61" s="156"/>
      <c r="EA61" s="157"/>
      <c r="EB61" s="154">
        <v>6495</v>
      </c>
      <c r="EC61" s="196">
        <v>7702</v>
      </c>
      <c r="ED61" s="155"/>
      <c r="EE61" s="196">
        <v>10271</v>
      </c>
      <c r="EF61" s="156"/>
    </row>
    <row r="62" spans="1:136" s="100" customFormat="1" x14ac:dyDescent="0.25">
      <c r="A62" s="89" t="s">
        <v>29</v>
      </c>
      <c r="B62" s="103"/>
      <c r="C62" s="103"/>
      <c r="D62" s="108">
        <v>110946</v>
      </c>
      <c r="E62" s="442">
        <v>101379</v>
      </c>
      <c r="F62" s="442"/>
      <c r="G62" s="442"/>
      <c r="H62" s="442">
        <v>100609</v>
      </c>
      <c r="I62" s="442"/>
      <c r="J62" s="104">
        <v>96706</v>
      </c>
      <c r="K62" s="103"/>
      <c r="L62" s="108">
        <v>123402</v>
      </c>
      <c r="M62" s="442">
        <v>119374</v>
      </c>
      <c r="N62" s="442"/>
      <c r="O62" s="442">
        <v>115531</v>
      </c>
      <c r="P62" s="442"/>
      <c r="Q62" s="442">
        <v>111968</v>
      </c>
      <c r="R62" s="104"/>
      <c r="S62" s="103"/>
      <c r="T62" s="108">
        <v>91464</v>
      </c>
      <c r="U62" s="464">
        <v>87216</v>
      </c>
      <c r="V62" s="442"/>
      <c r="W62" s="442">
        <v>82912</v>
      </c>
      <c r="X62" s="442"/>
      <c r="Y62" s="442">
        <v>129313</v>
      </c>
      <c r="Z62" s="104"/>
      <c r="AA62" s="103"/>
      <c r="AB62" s="108">
        <v>97339</v>
      </c>
      <c r="AC62" s="118">
        <v>97467</v>
      </c>
      <c r="AD62" s="103"/>
      <c r="AE62" s="118">
        <v>95532</v>
      </c>
      <c r="AF62" s="103"/>
      <c r="AG62" s="118">
        <v>91752</v>
      </c>
      <c r="AH62" s="104"/>
      <c r="AI62" s="103"/>
      <c r="AJ62" s="108">
        <v>108032</v>
      </c>
      <c r="AK62" s="118">
        <v>106616</v>
      </c>
      <c r="AL62" s="103"/>
      <c r="AM62" s="118">
        <v>102279</v>
      </c>
      <c r="AN62" s="103"/>
      <c r="AO62" s="118">
        <v>96776</v>
      </c>
      <c r="AP62" s="104"/>
      <c r="AQ62" s="103"/>
      <c r="AR62" s="108">
        <v>126983</v>
      </c>
      <c r="AS62" s="118">
        <v>122540</v>
      </c>
      <c r="AT62" s="103"/>
      <c r="AU62" s="118">
        <v>120353</v>
      </c>
      <c r="AV62" s="103"/>
      <c r="AW62" s="118">
        <v>110976</v>
      </c>
      <c r="AX62" s="104"/>
      <c r="AY62" s="103"/>
      <c r="AZ62" s="108">
        <v>77326</v>
      </c>
      <c r="BA62" s="118">
        <v>136853</v>
      </c>
      <c r="BB62" s="103"/>
      <c r="BC62" s="118">
        <v>132472</v>
      </c>
      <c r="BD62" s="103"/>
      <c r="BE62" s="118">
        <v>129598</v>
      </c>
      <c r="BF62" s="104"/>
      <c r="BG62" s="103"/>
      <c r="BH62" s="108">
        <v>88638</v>
      </c>
      <c r="BI62" s="118">
        <v>85057</v>
      </c>
      <c r="BJ62" s="103"/>
      <c r="BK62" s="118">
        <v>80680</v>
      </c>
      <c r="BL62" s="103"/>
      <c r="BM62" s="118">
        <v>78468</v>
      </c>
      <c r="BN62" s="104"/>
      <c r="BO62" s="89"/>
      <c r="BP62" s="108">
        <v>102901</v>
      </c>
      <c r="BQ62" s="118">
        <v>99405</v>
      </c>
      <c r="BR62" s="103"/>
      <c r="BS62" s="118">
        <v>95578</v>
      </c>
      <c r="BT62" s="103"/>
      <c r="BU62" s="118">
        <v>91867</v>
      </c>
      <c r="BV62" s="104"/>
      <c r="BW62" s="109"/>
      <c r="BX62" s="108">
        <v>119258</v>
      </c>
      <c r="BY62" s="118">
        <v>111349</v>
      </c>
      <c r="BZ62" s="103"/>
      <c r="CA62" s="118">
        <v>109453</v>
      </c>
      <c r="CB62" s="103"/>
      <c r="CC62" s="118">
        <v>105627</v>
      </c>
      <c r="CD62" s="104"/>
      <c r="CE62" s="109"/>
      <c r="CF62" s="108">
        <v>82492</v>
      </c>
      <c r="CG62" s="118">
        <v>83429</v>
      </c>
      <c r="CH62" s="103"/>
      <c r="CI62" s="118">
        <v>76716</v>
      </c>
      <c r="CJ62" s="103"/>
      <c r="CK62" s="118">
        <v>121464</v>
      </c>
      <c r="CL62" s="104"/>
      <c r="CM62" s="109"/>
      <c r="CN62" s="108">
        <v>99212</v>
      </c>
      <c r="CO62" s="118">
        <v>93747</v>
      </c>
      <c r="CP62" s="103"/>
      <c r="CQ62" s="118">
        <v>89535</v>
      </c>
      <c r="CR62" s="103"/>
      <c r="CS62" s="118">
        <v>86048</v>
      </c>
      <c r="CT62" s="104"/>
      <c r="CU62" s="109"/>
      <c r="CV62" s="108">
        <v>73486</v>
      </c>
      <c r="CW62" s="118">
        <v>69447</v>
      </c>
      <c r="CX62" s="103"/>
      <c r="CY62" s="118">
        <v>65310</v>
      </c>
      <c r="CZ62" s="103"/>
      <c r="DA62" s="118">
        <v>102551</v>
      </c>
      <c r="DB62" s="104"/>
      <c r="DC62" s="109"/>
      <c r="DD62" s="108">
        <v>70395</v>
      </c>
      <c r="DE62" s="118">
        <v>67568</v>
      </c>
      <c r="DF62" s="103"/>
      <c r="DG62" s="118">
        <v>64383</v>
      </c>
      <c r="DH62" s="103"/>
      <c r="DI62" s="118">
        <v>64819</v>
      </c>
      <c r="DJ62" s="104"/>
      <c r="DK62" s="109"/>
      <c r="DL62" s="108">
        <v>81198</v>
      </c>
      <c r="DM62" s="118">
        <v>78978</v>
      </c>
      <c r="DN62" s="103"/>
      <c r="DO62" s="118">
        <v>76871</v>
      </c>
      <c r="DP62" s="103"/>
      <c r="DQ62" s="118">
        <v>73169</v>
      </c>
      <c r="DR62" s="104"/>
      <c r="DS62" s="109"/>
      <c r="DT62" s="108">
        <v>45106</v>
      </c>
      <c r="DU62" s="103">
        <v>42105</v>
      </c>
      <c r="DV62" s="103"/>
      <c r="DW62" s="103">
        <v>40199</v>
      </c>
      <c r="DX62" s="103"/>
      <c r="DY62" s="103">
        <v>83261</v>
      </c>
      <c r="DZ62" s="104"/>
      <c r="EA62" s="109"/>
      <c r="EB62" s="108">
        <v>49101</v>
      </c>
      <c r="EC62" s="103">
        <v>47268</v>
      </c>
      <c r="ED62" s="103"/>
      <c r="EE62" s="103">
        <v>46753</v>
      </c>
      <c r="EF62" s="104"/>
    </row>
    <row r="63" spans="1:136" s="100" customFormat="1" ht="6.75" customHeight="1" x14ac:dyDescent="0.25">
      <c r="A63" s="89"/>
      <c r="B63" s="103"/>
      <c r="C63" s="103"/>
      <c r="D63" s="108"/>
      <c r="E63" s="442"/>
      <c r="F63" s="442"/>
      <c r="G63" s="442"/>
      <c r="H63" s="442"/>
      <c r="I63" s="442"/>
      <c r="J63" s="104"/>
      <c r="K63" s="103"/>
      <c r="L63" s="108"/>
      <c r="M63" s="442"/>
      <c r="N63" s="442"/>
      <c r="O63" s="442"/>
      <c r="P63" s="442"/>
      <c r="Q63" s="442"/>
      <c r="R63" s="104"/>
      <c r="S63" s="103"/>
      <c r="T63" s="108"/>
      <c r="U63" s="464"/>
      <c r="V63" s="442"/>
      <c r="W63" s="442"/>
      <c r="X63" s="442"/>
      <c r="Y63" s="442"/>
      <c r="Z63" s="104"/>
      <c r="AA63" s="103"/>
      <c r="AB63" s="108"/>
      <c r="AC63" s="118"/>
      <c r="AD63" s="103"/>
      <c r="AE63" s="118"/>
      <c r="AF63" s="103"/>
      <c r="AG63" s="118"/>
      <c r="AH63" s="104"/>
      <c r="AI63" s="103"/>
      <c r="AJ63" s="108"/>
      <c r="AK63" s="118"/>
      <c r="AL63" s="103"/>
      <c r="AM63" s="118"/>
      <c r="AN63" s="103"/>
      <c r="AO63" s="118"/>
      <c r="AP63" s="104"/>
      <c r="AQ63" s="103"/>
      <c r="AR63" s="108"/>
      <c r="AS63" s="118"/>
      <c r="AT63" s="103"/>
      <c r="AU63" s="118"/>
      <c r="AV63" s="103"/>
      <c r="AW63" s="118"/>
      <c r="AX63" s="104"/>
      <c r="AY63" s="103"/>
      <c r="AZ63" s="108"/>
      <c r="BA63" s="118"/>
      <c r="BB63" s="103"/>
      <c r="BC63" s="118"/>
      <c r="BD63" s="103"/>
      <c r="BE63" s="118"/>
      <c r="BF63" s="104"/>
      <c r="BG63" s="103"/>
      <c r="BH63" s="108"/>
      <c r="BI63" s="118"/>
      <c r="BJ63" s="103"/>
      <c r="BK63" s="118"/>
      <c r="BL63" s="103"/>
      <c r="BM63" s="118"/>
      <c r="BN63" s="104"/>
      <c r="BO63" s="89"/>
      <c r="BP63" s="108"/>
      <c r="BQ63" s="118"/>
      <c r="BR63" s="103"/>
      <c r="BS63" s="118"/>
      <c r="BT63" s="103"/>
      <c r="BU63" s="118"/>
      <c r="BV63" s="104"/>
      <c r="BW63" s="110"/>
      <c r="BX63" s="108"/>
      <c r="BY63" s="118"/>
      <c r="BZ63" s="103"/>
      <c r="CA63" s="118"/>
      <c r="CB63" s="103"/>
      <c r="CC63" s="118"/>
      <c r="CD63" s="104"/>
      <c r="CE63" s="110"/>
      <c r="CF63" s="108"/>
      <c r="CG63" s="118"/>
      <c r="CH63" s="103"/>
      <c r="CI63" s="118"/>
      <c r="CJ63" s="103"/>
      <c r="CK63" s="118"/>
      <c r="CL63" s="104"/>
      <c r="CM63" s="110"/>
      <c r="CN63" s="108"/>
      <c r="CO63" s="118"/>
      <c r="CP63" s="103"/>
      <c r="CQ63" s="118"/>
      <c r="CR63" s="103"/>
      <c r="CS63" s="118"/>
      <c r="CT63" s="104"/>
      <c r="CU63" s="110"/>
      <c r="CV63" s="108"/>
      <c r="CW63" s="118"/>
      <c r="CX63" s="103"/>
      <c r="CY63" s="118"/>
      <c r="CZ63" s="103"/>
      <c r="DA63" s="118"/>
      <c r="DB63" s="104"/>
      <c r="DC63" s="110"/>
      <c r="DD63" s="108"/>
      <c r="DE63" s="118"/>
      <c r="DF63" s="103"/>
      <c r="DG63" s="118"/>
      <c r="DH63" s="103"/>
      <c r="DI63" s="118"/>
      <c r="DJ63" s="104"/>
      <c r="DK63" s="110"/>
      <c r="DL63" s="108"/>
      <c r="DM63" s="118"/>
      <c r="DN63" s="103"/>
      <c r="DO63" s="118"/>
      <c r="DP63" s="103"/>
      <c r="DQ63" s="118"/>
      <c r="DR63" s="104"/>
      <c r="DS63" s="110"/>
      <c r="DT63" s="108"/>
      <c r="DU63" s="103"/>
      <c r="DV63" s="118"/>
      <c r="DW63" s="118"/>
      <c r="DX63" s="103"/>
      <c r="DY63" s="118"/>
      <c r="DZ63" s="104"/>
      <c r="EA63" s="110"/>
      <c r="EB63" s="108"/>
      <c r="EC63" s="118"/>
      <c r="ED63" s="103"/>
      <c r="EE63" s="118"/>
      <c r="EF63" s="104"/>
    </row>
    <row r="64" spans="1:136" s="100" customFormat="1" ht="15.75" customHeight="1" x14ac:dyDescent="0.25">
      <c r="A64" s="89" t="s">
        <v>36</v>
      </c>
      <c r="B64" s="103"/>
      <c r="C64" s="103"/>
      <c r="D64" s="108">
        <v>-16555</v>
      </c>
      <c r="E64" s="442">
        <v>-13039</v>
      </c>
      <c r="F64" s="442"/>
      <c r="G64" s="442"/>
      <c r="H64" s="442">
        <v>-10489</v>
      </c>
      <c r="I64" s="442"/>
      <c r="J64" s="104">
        <v>-6920</v>
      </c>
      <c r="K64" s="103"/>
      <c r="L64" s="108">
        <v>-32108</v>
      </c>
      <c r="M64" s="442">
        <v>-28252</v>
      </c>
      <c r="N64" s="442"/>
      <c r="O64" s="442">
        <v>-24307</v>
      </c>
      <c r="P64" s="442"/>
      <c r="Q64" s="442">
        <v>-20371</v>
      </c>
      <c r="R64" s="104"/>
      <c r="S64" s="103"/>
      <c r="T64" s="108">
        <v>2092</v>
      </c>
      <c r="U64" s="464">
        <v>6888</v>
      </c>
      <c r="V64" s="442"/>
      <c r="W64" s="442">
        <v>10679</v>
      </c>
      <c r="X64" s="442"/>
      <c r="Y64" s="442">
        <v>-35115</v>
      </c>
      <c r="Z64" s="104"/>
      <c r="AA64" s="103"/>
      <c r="AB64" s="108">
        <v>-12441</v>
      </c>
      <c r="AC64" s="118">
        <v>-8487</v>
      </c>
      <c r="AD64" s="103"/>
      <c r="AE64" s="118">
        <v>-4909</v>
      </c>
      <c r="AF64" s="103"/>
      <c r="AG64" s="118">
        <v>-851</v>
      </c>
      <c r="AH64" s="104"/>
      <c r="AI64" s="103"/>
      <c r="AJ64" s="108">
        <v>-28079</v>
      </c>
      <c r="AK64" s="118">
        <v>-24222</v>
      </c>
      <c r="AL64" s="103"/>
      <c r="AM64" s="118">
        <v>-20540</v>
      </c>
      <c r="AN64" s="103"/>
      <c r="AO64" s="118">
        <v>-16151</v>
      </c>
      <c r="AP64" s="104"/>
      <c r="AQ64" s="103"/>
      <c r="AR64" s="108">
        <v>-45839</v>
      </c>
      <c r="AS64" s="118">
        <v>-42644</v>
      </c>
      <c r="AT64" s="103"/>
      <c r="AU64" s="118">
        <v>-39873</v>
      </c>
      <c r="AV64" s="103"/>
      <c r="AW64" s="118">
        <v>-31203</v>
      </c>
      <c r="AX64" s="104"/>
      <c r="AY64" s="103"/>
      <c r="AZ64" s="108">
        <v>5168</v>
      </c>
      <c r="BA64" s="118">
        <v>-52914</v>
      </c>
      <c r="BB64" s="103"/>
      <c r="BC64" s="118">
        <v>-50733</v>
      </c>
      <c r="BD64" s="103"/>
      <c r="BE64" s="118">
        <v>-48730</v>
      </c>
      <c r="BF64" s="104"/>
      <c r="BG64" s="103"/>
      <c r="BH64" s="108">
        <v>-7058</v>
      </c>
      <c r="BI64" s="118">
        <v>-3631</v>
      </c>
      <c r="BJ64" s="103"/>
      <c r="BK64" s="118">
        <v>-482</v>
      </c>
      <c r="BL64" s="103"/>
      <c r="BM64" s="118">
        <v>2099</v>
      </c>
      <c r="BN64" s="104"/>
      <c r="BO64" s="89"/>
      <c r="BP64" s="108">
        <v>-18471</v>
      </c>
      <c r="BQ64" s="118">
        <v>-16078</v>
      </c>
      <c r="BR64" s="103"/>
      <c r="BS64" s="118">
        <v>-13421</v>
      </c>
      <c r="BT64" s="103"/>
      <c r="BU64" s="118">
        <v>-9793</v>
      </c>
      <c r="BV64" s="104"/>
      <c r="BW64" s="109"/>
      <c r="BX64" s="108">
        <v>-27965</v>
      </c>
      <c r="BY64" s="118">
        <v>-25151</v>
      </c>
      <c r="BZ64" s="103"/>
      <c r="CA64" s="118">
        <v>-22987</v>
      </c>
      <c r="CB64" s="103"/>
      <c r="CC64" s="118">
        <v>-20917</v>
      </c>
      <c r="CD64" s="104"/>
      <c r="CE64" s="109"/>
      <c r="CF64" s="108">
        <v>5785</v>
      </c>
      <c r="CG64" s="118">
        <v>8762</v>
      </c>
      <c r="CH64" s="103"/>
      <c r="CI64" s="118">
        <v>12071</v>
      </c>
      <c r="CJ64" s="103"/>
      <c r="CK64" s="118">
        <v>-30107</v>
      </c>
      <c r="CL64" s="104"/>
      <c r="CM64" s="109"/>
      <c r="CN64" s="108">
        <v>-7237</v>
      </c>
      <c r="CO64" s="118">
        <v>-3656</v>
      </c>
      <c r="CP64" s="103"/>
      <c r="CQ64" s="118">
        <v>-295</v>
      </c>
      <c r="CR64" s="103"/>
      <c r="CS64" s="118">
        <v>2644</v>
      </c>
      <c r="CT64" s="104"/>
      <c r="CU64" s="109"/>
      <c r="CV64" s="108">
        <v>19445</v>
      </c>
      <c r="CW64" s="118">
        <v>23054</v>
      </c>
      <c r="CX64" s="103"/>
      <c r="CY64" s="118">
        <v>26883</v>
      </c>
      <c r="CZ64" s="103"/>
      <c r="DA64" s="118">
        <v>-10590</v>
      </c>
      <c r="DB64" s="104"/>
      <c r="DC64" s="109"/>
      <c r="DD64" s="108">
        <v>2487</v>
      </c>
      <c r="DE64" s="118">
        <v>4742</v>
      </c>
      <c r="DF64" s="103"/>
      <c r="DG64" s="118">
        <v>6565</v>
      </c>
      <c r="DH64" s="103"/>
      <c r="DI64" s="118">
        <v>9809</v>
      </c>
      <c r="DJ64" s="104"/>
      <c r="DK64" s="109"/>
      <c r="DL64" s="108">
        <v>-4970</v>
      </c>
      <c r="DM64" s="118">
        <v>-3078</v>
      </c>
      <c r="DN64" s="103"/>
      <c r="DO64" s="118">
        <v>-790</v>
      </c>
      <c r="DP64" s="103"/>
      <c r="DQ64" s="118">
        <v>782</v>
      </c>
      <c r="DR64" s="104"/>
      <c r="DS64" s="109"/>
      <c r="DT64" s="108">
        <v>33819</v>
      </c>
      <c r="DU64" s="103">
        <v>36597</v>
      </c>
      <c r="DV64" s="103"/>
      <c r="DW64" s="103">
        <v>38756</v>
      </c>
      <c r="DX64" s="103"/>
      <c r="DY64" s="103">
        <v>-5857</v>
      </c>
      <c r="DZ64" s="104"/>
      <c r="EA64" s="109"/>
      <c r="EB64" s="108">
        <v>28736</v>
      </c>
      <c r="EC64" s="103">
        <v>30588</v>
      </c>
      <c r="ED64" s="103"/>
      <c r="EE64" s="103">
        <v>31179</v>
      </c>
      <c r="EF64" s="104"/>
    </row>
    <row r="65" spans="1:136" ht="7.5" customHeight="1" x14ac:dyDescent="0.25">
      <c r="A65" s="77"/>
      <c r="B65" s="103"/>
      <c r="C65" s="103"/>
      <c r="D65" s="108"/>
      <c r="E65" s="442"/>
      <c r="F65" s="442"/>
      <c r="G65" s="442"/>
      <c r="H65" s="442"/>
      <c r="I65" s="442"/>
      <c r="J65" s="104"/>
      <c r="K65" s="103"/>
      <c r="L65" s="108"/>
      <c r="M65" s="442"/>
      <c r="N65" s="442"/>
      <c r="O65" s="442"/>
      <c r="P65" s="442"/>
      <c r="Q65" s="442"/>
      <c r="R65" s="104"/>
      <c r="S65" s="103"/>
      <c r="T65" s="108"/>
      <c r="U65" s="462"/>
      <c r="V65" s="462"/>
      <c r="W65" s="462"/>
      <c r="X65" s="462"/>
      <c r="Y65" s="462"/>
      <c r="Z65" s="117"/>
      <c r="AA65" s="103"/>
      <c r="AB65" s="108"/>
      <c r="AC65" s="116"/>
      <c r="AD65" s="116"/>
      <c r="AE65" s="116"/>
      <c r="AF65" s="116"/>
      <c r="AG65" s="116"/>
      <c r="AH65" s="117"/>
      <c r="AI65" s="103"/>
      <c r="AJ65" s="108"/>
      <c r="AK65" s="116"/>
      <c r="AL65" s="116"/>
      <c r="AM65" s="116"/>
      <c r="AN65" s="116"/>
      <c r="AO65" s="116"/>
      <c r="AP65" s="117"/>
      <c r="AQ65" s="103"/>
      <c r="AR65" s="108"/>
      <c r="AS65" s="116"/>
      <c r="AT65" s="116"/>
      <c r="AU65" s="116"/>
      <c r="AV65" s="116"/>
      <c r="AW65" s="116"/>
      <c r="AX65" s="117"/>
      <c r="AY65" s="103"/>
      <c r="AZ65" s="108"/>
      <c r="BA65" s="116"/>
      <c r="BB65" s="116"/>
      <c r="BC65" s="116"/>
      <c r="BD65" s="116"/>
      <c r="BE65" s="116"/>
      <c r="BF65" s="117"/>
      <c r="BG65" s="103"/>
      <c r="BH65" s="108"/>
      <c r="BI65" s="116"/>
      <c r="BJ65" s="116"/>
      <c r="BK65" s="116"/>
      <c r="BL65" s="116"/>
      <c r="BM65" s="116"/>
      <c r="BN65" s="117"/>
      <c r="BO65" s="77"/>
      <c r="BP65" s="108"/>
      <c r="BQ65" s="116"/>
      <c r="BR65" s="116"/>
      <c r="BS65" s="116"/>
      <c r="BT65" s="116"/>
      <c r="BU65" s="116"/>
      <c r="BV65" s="117"/>
      <c r="BW65" s="77"/>
      <c r="BX65" s="108"/>
      <c r="BY65" s="116"/>
      <c r="BZ65" s="116"/>
      <c r="CA65" s="116"/>
      <c r="CB65" s="116"/>
      <c r="CC65" s="116"/>
      <c r="CD65" s="117"/>
      <c r="CE65" s="77"/>
      <c r="CF65" s="108"/>
      <c r="CG65" s="116"/>
      <c r="CH65" s="116"/>
      <c r="CI65" s="116"/>
      <c r="CJ65" s="116"/>
      <c r="CK65" s="116"/>
      <c r="CL65" s="117"/>
      <c r="CM65" s="77"/>
      <c r="CN65" s="108"/>
      <c r="CO65" s="116"/>
      <c r="CP65" s="116"/>
      <c r="CQ65" s="116"/>
      <c r="CR65" s="116"/>
      <c r="CS65" s="116"/>
      <c r="CT65" s="117"/>
      <c r="CU65" s="77"/>
      <c r="CV65" s="108"/>
      <c r="CW65" s="116"/>
      <c r="CX65" s="116"/>
      <c r="CY65" s="116"/>
      <c r="CZ65" s="116"/>
      <c r="DA65" s="116"/>
      <c r="DB65" s="117"/>
      <c r="DC65" s="77"/>
      <c r="DD65" s="108"/>
      <c r="DE65" s="116"/>
      <c r="DF65" s="116"/>
      <c r="DG65" s="116"/>
      <c r="DH65" s="116"/>
      <c r="DI65" s="116"/>
      <c r="DJ65" s="117"/>
      <c r="DK65" s="77"/>
      <c r="DL65" s="108"/>
      <c r="DM65" s="116"/>
      <c r="DN65" s="116"/>
      <c r="DO65" s="116"/>
      <c r="DP65" s="116"/>
      <c r="DQ65" s="116"/>
      <c r="DR65" s="117"/>
      <c r="DS65" s="77"/>
      <c r="DT65" s="108"/>
      <c r="DU65" s="116"/>
      <c r="DV65" s="116"/>
      <c r="DW65" s="116"/>
      <c r="DX65" s="116"/>
      <c r="DY65" s="116"/>
      <c r="DZ65" s="117"/>
      <c r="EA65" s="77"/>
      <c r="EB65" s="170"/>
      <c r="EC65" s="116"/>
      <c r="ED65" s="116"/>
      <c r="EE65" s="116"/>
      <c r="EF65" s="117"/>
    </row>
    <row r="66" spans="1:136" s="100" customFormat="1" x14ac:dyDescent="0.25">
      <c r="A66" s="89" t="s">
        <v>66</v>
      </c>
      <c r="B66" s="103"/>
      <c r="C66" s="103"/>
      <c r="D66" s="108">
        <v>53</v>
      </c>
      <c r="E66" s="442">
        <f>F66-D66</f>
        <v>109</v>
      </c>
      <c r="F66" s="442">
        <v>162</v>
      </c>
      <c r="G66" s="442">
        <f t="shared" si="1"/>
        <v>50</v>
      </c>
      <c r="H66" s="442">
        <v>212</v>
      </c>
      <c r="I66" s="442"/>
      <c r="J66" s="104">
        <v>892</v>
      </c>
      <c r="K66" s="103"/>
      <c r="L66" s="108">
        <v>155</v>
      </c>
      <c r="M66" s="442">
        <v>327</v>
      </c>
      <c r="N66" s="442">
        <v>482</v>
      </c>
      <c r="O66" s="442">
        <v>112</v>
      </c>
      <c r="P66" s="442">
        <v>594</v>
      </c>
      <c r="Q66" s="442">
        <f>R66-P66</f>
        <v>77</v>
      </c>
      <c r="R66" s="104">
        <v>671</v>
      </c>
      <c r="S66" s="103"/>
      <c r="T66" s="108">
        <v>17</v>
      </c>
      <c r="U66" s="464">
        <v>76</v>
      </c>
      <c r="V66" s="464">
        <v>93</v>
      </c>
      <c r="W66" s="464">
        <v>168</v>
      </c>
      <c r="X66" s="464">
        <v>261</v>
      </c>
      <c r="Y66" s="464">
        <v>333</v>
      </c>
      <c r="Z66" s="119">
        <v>594</v>
      </c>
      <c r="AA66" s="103"/>
      <c r="AB66" s="108">
        <v>188</v>
      </c>
      <c r="AC66" s="118">
        <v>938</v>
      </c>
      <c r="AD66" s="118">
        <v>1126</v>
      </c>
      <c r="AE66" s="118">
        <v>0</v>
      </c>
      <c r="AF66" s="278">
        <v>1126</v>
      </c>
      <c r="AG66" s="118">
        <v>3664</v>
      </c>
      <c r="AH66" s="119">
        <v>4790</v>
      </c>
      <c r="AI66" s="103"/>
      <c r="AJ66" s="108">
        <v>97</v>
      </c>
      <c r="AK66" s="118">
        <v>426</v>
      </c>
      <c r="AL66" s="118">
        <v>523</v>
      </c>
      <c r="AM66" s="118">
        <v>646</v>
      </c>
      <c r="AN66" s="278">
        <v>1169</v>
      </c>
      <c r="AO66" s="118">
        <v>419</v>
      </c>
      <c r="AP66" s="119">
        <v>1588</v>
      </c>
      <c r="AQ66" s="103"/>
      <c r="AR66" s="108">
        <v>34</v>
      </c>
      <c r="AS66" s="118">
        <v>77</v>
      </c>
      <c r="AT66" s="118">
        <v>111</v>
      </c>
      <c r="AU66" s="118">
        <v>108</v>
      </c>
      <c r="AV66" s="278">
        <v>219</v>
      </c>
      <c r="AW66" s="118">
        <v>409</v>
      </c>
      <c r="AX66" s="119">
        <v>628</v>
      </c>
      <c r="AY66" s="103"/>
      <c r="AZ66" s="108">
        <v>465</v>
      </c>
      <c r="BA66" s="118">
        <v>1854</v>
      </c>
      <c r="BB66" s="118">
        <v>2319</v>
      </c>
      <c r="BC66" s="118">
        <v>526</v>
      </c>
      <c r="BD66" s="278">
        <v>2845</v>
      </c>
      <c r="BE66" s="118">
        <v>86</v>
      </c>
      <c r="BF66" s="119">
        <v>2931</v>
      </c>
      <c r="BG66" s="103"/>
      <c r="BH66" s="108">
        <v>26</v>
      </c>
      <c r="BI66" s="118">
        <v>231</v>
      </c>
      <c r="BJ66" s="118">
        <v>257</v>
      </c>
      <c r="BK66" s="118">
        <v>101</v>
      </c>
      <c r="BL66" s="118">
        <v>358</v>
      </c>
      <c r="BM66" s="118">
        <v>1167</v>
      </c>
      <c r="BN66" s="119">
        <v>1525</v>
      </c>
      <c r="BO66" s="89"/>
      <c r="BP66" s="108">
        <v>190</v>
      </c>
      <c r="BQ66" s="118">
        <v>145</v>
      </c>
      <c r="BR66" s="118">
        <v>335</v>
      </c>
      <c r="BS66" s="118">
        <v>147</v>
      </c>
      <c r="BT66" s="118">
        <v>482</v>
      </c>
      <c r="BU66" s="118">
        <v>86</v>
      </c>
      <c r="BV66" s="119">
        <v>568</v>
      </c>
      <c r="BW66" s="110"/>
      <c r="BX66" s="108">
        <v>209</v>
      </c>
      <c r="BY66" s="118">
        <v>601</v>
      </c>
      <c r="BZ66" s="118">
        <v>810</v>
      </c>
      <c r="CA66" s="118">
        <v>1828</v>
      </c>
      <c r="CB66" s="118">
        <v>2638</v>
      </c>
      <c r="CC66" s="118">
        <v>582</v>
      </c>
      <c r="CD66" s="119">
        <v>3220</v>
      </c>
      <c r="CE66" s="110"/>
      <c r="CF66" s="108">
        <v>44</v>
      </c>
      <c r="CG66" s="118">
        <v>130</v>
      </c>
      <c r="CH66" s="118">
        <v>174</v>
      </c>
      <c r="CI66" s="118">
        <v>296</v>
      </c>
      <c r="CJ66" s="118">
        <v>470</v>
      </c>
      <c r="CK66" s="118">
        <v>408</v>
      </c>
      <c r="CL66" s="119">
        <v>878</v>
      </c>
      <c r="CM66" s="110"/>
      <c r="CN66" s="108">
        <v>57</v>
      </c>
      <c r="CO66" s="118">
        <v>1411</v>
      </c>
      <c r="CP66" s="118">
        <v>1468</v>
      </c>
      <c r="CQ66" s="118">
        <v>102</v>
      </c>
      <c r="CR66" s="118">
        <v>1570</v>
      </c>
      <c r="CS66" s="118">
        <v>1913</v>
      </c>
      <c r="CT66" s="119">
        <v>3483</v>
      </c>
      <c r="CU66" s="110"/>
      <c r="CV66" s="108">
        <v>40</v>
      </c>
      <c r="CW66" s="118">
        <v>31</v>
      </c>
      <c r="CX66" s="118">
        <v>71</v>
      </c>
      <c r="CY66" s="118">
        <v>157</v>
      </c>
      <c r="CZ66" s="118">
        <v>228</v>
      </c>
      <c r="DA66" s="118">
        <v>553</v>
      </c>
      <c r="DB66" s="119">
        <v>781</v>
      </c>
      <c r="DC66" s="110"/>
      <c r="DD66" s="108">
        <v>34</v>
      </c>
      <c r="DE66" s="118">
        <v>0</v>
      </c>
      <c r="DF66" s="118">
        <v>34</v>
      </c>
      <c r="DG66" s="118">
        <v>125</v>
      </c>
      <c r="DH66" s="118">
        <v>159</v>
      </c>
      <c r="DI66" s="118">
        <v>92</v>
      </c>
      <c r="DJ66" s="119">
        <v>251</v>
      </c>
      <c r="DK66" s="110"/>
      <c r="DL66" s="108">
        <v>457</v>
      </c>
      <c r="DM66" s="118">
        <v>305</v>
      </c>
      <c r="DN66" s="118">
        <v>762</v>
      </c>
      <c r="DO66" s="118">
        <v>240</v>
      </c>
      <c r="DP66" s="118">
        <v>1002</v>
      </c>
      <c r="DQ66" s="118">
        <v>-19</v>
      </c>
      <c r="DR66" s="119">
        <v>983</v>
      </c>
      <c r="DS66" s="110"/>
      <c r="DT66" s="108">
        <v>-87</v>
      </c>
      <c r="DU66" s="118">
        <v>87</v>
      </c>
      <c r="DV66" s="118">
        <v>0</v>
      </c>
      <c r="DW66" s="118">
        <v>341</v>
      </c>
      <c r="DX66" s="118">
        <v>341</v>
      </c>
      <c r="DY66" s="118">
        <v>55</v>
      </c>
      <c r="DZ66" s="119">
        <v>396</v>
      </c>
      <c r="EA66" s="110"/>
      <c r="EB66" s="172">
        <v>70</v>
      </c>
      <c r="EC66" s="103">
        <v>253</v>
      </c>
      <c r="ED66" s="118">
        <v>323</v>
      </c>
      <c r="EE66" s="103">
        <v>69</v>
      </c>
      <c r="EF66" s="119">
        <v>392</v>
      </c>
    </row>
    <row r="67" spans="1:136" s="100" customFormat="1" ht="7.5" customHeight="1" x14ac:dyDescent="0.25">
      <c r="A67" s="89"/>
      <c r="B67" s="103"/>
      <c r="C67" s="103"/>
      <c r="D67" s="108"/>
      <c r="E67" s="442"/>
      <c r="F67" s="442"/>
      <c r="G67" s="442"/>
      <c r="H67" s="442"/>
      <c r="I67" s="442"/>
      <c r="J67" s="104"/>
      <c r="K67" s="103"/>
      <c r="L67" s="108"/>
      <c r="M67" s="442"/>
      <c r="N67" s="442"/>
      <c r="O67" s="442"/>
      <c r="P67" s="442"/>
      <c r="Q67" s="442"/>
      <c r="R67" s="104"/>
      <c r="S67" s="103"/>
      <c r="T67" s="108"/>
      <c r="U67" s="464"/>
      <c r="V67" s="464"/>
      <c r="W67" s="464"/>
      <c r="X67" s="464"/>
      <c r="Y67" s="464"/>
      <c r="Z67" s="119"/>
      <c r="AA67" s="103"/>
      <c r="AB67" s="108"/>
      <c r="AC67" s="118"/>
      <c r="AD67" s="118"/>
      <c r="AE67" s="109"/>
      <c r="AF67" s="118"/>
      <c r="AG67" s="118"/>
      <c r="AH67" s="119"/>
      <c r="AI67" s="103"/>
      <c r="AJ67" s="108"/>
      <c r="AK67" s="118"/>
      <c r="AL67" s="118"/>
      <c r="AM67" s="109"/>
      <c r="AN67" s="118"/>
      <c r="AO67" s="118"/>
      <c r="AP67" s="119"/>
      <c r="AQ67" s="103"/>
      <c r="AR67" s="108"/>
      <c r="AS67" s="118"/>
      <c r="AT67" s="118"/>
      <c r="AU67" s="109"/>
      <c r="AV67" s="118"/>
      <c r="AW67" s="118"/>
      <c r="AX67" s="119"/>
      <c r="AY67" s="103"/>
      <c r="AZ67" s="108"/>
      <c r="BA67" s="118"/>
      <c r="BB67" s="118"/>
      <c r="BC67" s="109"/>
      <c r="BD67" s="118"/>
      <c r="BE67" s="118"/>
      <c r="BF67" s="119"/>
      <c r="BG67" s="103"/>
      <c r="BH67" s="108"/>
      <c r="BI67" s="118"/>
      <c r="BJ67" s="118"/>
      <c r="BK67" s="109"/>
      <c r="BL67" s="118"/>
      <c r="BM67" s="118"/>
      <c r="BN67" s="119"/>
      <c r="BO67" s="89"/>
      <c r="BP67" s="108"/>
      <c r="BQ67" s="118"/>
      <c r="BR67" s="118"/>
      <c r="BS67" s="109"/>
      <c r="BT67" s="118"/>
      <c r="BU67" s="118"/>
      <c r="BV67" s="119"/>
      <c r="BW67" s="110"/>
      <c r="BX67" s="108"/>
      <c r="BY67" s="118"/>
      <c r="BZ67" s="118"/>
      <c r="CA67" s="109"/>
      <c r="CB67" s="118"/>
      <c r="CC67" s="118"/>
      <c r="CD67" s="119"/>
      <c r="CE67" s="110"/>
      <c r="CF67" s="108"/>
      <c r="CG67" s="118"/>
      <c r="CH67" s="118"/>
      <c r="CI67" s="109"/>
      <c r="CJ67" s="118"/>
      <c r="CK67" s="118"/>
      <c r="CL67" s="119"/>
      <c r="CM67" s="110"/>
      <c r="CN67" s="108"/>
      <c r="CO67" s="118"/>
      <c r="CP67" s="118"/>
      <c r="CQ67" s="109"/>
      <c r="CR67" s="118"/>
      <c r="CS67" s="118"/>
      <c r="CT67" s="119"/>
      <c r="CU67" s="110"/>
      <c r="CV67" s="108"/>
      <c r="CW67" s="118"/>
      <c r="CX67" s="118"/>
      <c r="CY67" s="109"/>
      <c r="CZ67" s="118"/>
      <c r="DA67" s="118"/>
      <c r="DB67" s="119"/>
      <c r="DC67" s="110"/>
      <c r="DD67" s="108"/>
      <c r="DE67" s="118"/>
      <c r="DF67" s="118"/>
      <c r="DG67" s="109"/>
      <c r="DH67" s="118"/>
      <c r="DI67" s="118"/>
      <c r="DJ67" s="119"/>
      <c r="DK67" s="110"/>
      <c r="DL67" s="108"/>
      <c r="DM67" s="118"/>
      <c r="DN67" s="118"/>
      <c r="DO67" s="109"/>
      <c r="DP67" s="118"/>
      <c r="DQ67" s="118"/>
      <c r="DR67" s="119"/>
      <c r="DS67" s="110"/>
      <c r="DT67" s="108"/>
      <c r="DU67" s="118"/>
      <c r="DV67" s="118"/>
      <c r="DW67" s="118"/>
      <c r="DX67" s="118"/>
      <c r="DY67" s="118"/>
      <c r="DZ67" s="119"/>
      <c r="EA67" s="110"/>
      <c r="EB67" s="172"/>
      <c r="EC67" s="118"/>
      <c r="ED67" s="118"/>
      <c r="EE67" s="118"/>
      <c r="EF67" s="119"/>
    </row>
    <row r="68" spans="1:136" s="100" customFormat="1" x14ac:dyDescent="0.25">
      <c r="A68" s="453" t="s">
        <v>170</v>
      </c>
      <c r="B68" s="103"/>
      <c r="C68" s="103"/>
      <c r="D68" s="108">
        <v>0</v>
      </c>
      <c r="E68" s="442"/>
      <c r="F68" s="442"/>
      <c r="G68" s="442"/>
      <c r="H68" s="442"/>
      <c r="I68" s="442"/>
      <c r="J68" s="104"/>
      <c r="K68" s="103"/>
      <c r="L68" s="108">
        <v>0</v>
      </c>
      <c r="M68" s="442">
        <v>0</v>
      </c>
      <c r="N68" s="442">
        <v>0</v>
      </c>
      <c r="O68" s="442">
        <v>0</v>
      </c>
      <c r="P68" s="442">
        <v>0</v>
      </c>
      <c r="Q68" s="442">
        <v>0</v>
      </c>
      <c r="R68" s="104">
        <v>0</v>
      </c>
      <c r="S68" s="103"/>
      <c r="T68" s="108">
        <v>0</v>
      </c>
      <c r="U68" s="464">
        <v>0</v>
      </c>
      <c r="V68" s="464">
        <v>0</v>
      </c>
      <c r="W68" s="464">
        <v>0</v>
      </c>
      <c r="X68" s="464">
        <v>0</v>
      </c>
      <c r="Y68" s="464">
        <v>0</v>
      </c>
      <c r="Z68" s="119">
        <v>0</v>
      </c>
      <c r="AA68" s="103"/>
      <c r="AB68" s="108">
        <v>0</v>
      </c>
      <c r="AC68" s="118">
        <v>0</v>
      </c>
      <c r="AD68" s="118">
        <v>0</v>
      </c>
      <c r="AE68" s="109">
        <v>0</v>
      </c>
      <c r="AF68" s="118">
        <v>0</v>
      </c>
      <c r="AG68" s="118">
        <v>5160</v>
      </c>
      <c r="AH68" s="119">
        <v>5160</v>
      </c>
      <c r="AI68" s="103"/>
      <c r="AJ68" s="108">
        <v>0</v>
      </c>
      <c r="AK68" s="118">
        <v>0</v>
      </c>
      <c r="AL68" s="118">
        <v>0</v>
      </c>
      <c r="AM68" s="109">
        <v>0</v>
      </c>
      <c r="AN68" s="118">
        <v>0</v>
      </c>
      <c r="AO68" s="118">
        <v>0</v>
      </c>
      <c r="AP68" s="119">
        <v>0</v>
      </c>
      <c r="AQ68" s="103"/>
      <c r="AR68" s="108">
        <v>0</v>
      </c>
      <c r="AS68" s="118">
        <v>0</v>
      </c>
      <c r="AT68" s="118">
        <v>0</v>
      </c>
      <c r="AU68" s="109">
        <v>0</v>
      </c>
      <c r="AV68" s="118">
        <v>0</v>
      </c>
      <c r="AW68" s="118">
        <v>0</v>
      </c>
      <c r="AX68" s="119">
        <v>0</v>
      </c>
      <c r="AY68" s="103"/>
      <c r="AZ68" s="108">
        <v>0</v>
      </c>
      <c r="BA68" s="118">
        <v>0</v>
      </c>
      <c r="BB68" s="118">
        <v>0</v>
      </c>
      <c r="BC68" s="109">
        <v>0</v>
      </c>
      <c r="BD68" s="118">
        <v>0</v>
      </c>
      <c r="BE68" s="118">
        <v>0</v>
      </c>
      <c r="BF68" s="119">
        <v>0</v>
      </c>
      <c r="BG68" s="103"/>
      <c r="BH68" s="108"/>
      <c r="BI68" s="118"/>
      <c r="BJ68" s="118"/>
      <c r="BK68" s="109"/>
      <c r="BL68" s="118"/>
      <c r="BM68" s="118"/>
      <c r="BN68" s="119"/>
      <c r="BO68" s="89"/>
      <c r="BP68" s="108"/>
      <c r="BQ68" s="118"/>
      <c r="BR68" s="118"/>
      <c r="BS68" s="109"/>
      <c r="BT68" s="118"/>
      <c r="BU68" s="118"/>
      <c r="BV68" s="119"/>
      <c r="BW68" s="110"/>
      <c r="BX68" s="108"/>
      <c r="BY68" s="118"/>
      <c r="BZ68" s="118"/>
      <c r="CA68" s="109"/>
      <c r="CB68" s="118"/>
      <c r="CC68" s="118"/>
      <c r="CD68" s="119"/>
      <c r="CE68" s="110"/>
      <c r="CF68" s="108"/>
      <c r="CG68" s="118"/>
      <c r="CH68" s="118"/>
      <c r="CI68" s="109"/>
      <c r="CJ68" s="118"/>
      <c r="CK68" s="118"/>
      <c r="CL68" s="119"/>
      <c r="CM68" s="110"/>
      <c r="CN68" s="108"/>
      <c r="CO68" s="118"/>
      <c r="CP68" s="118"/>
      <c r="CQ68" s="109"/>
      <c r="CR68" s="118"/>
      <c r="CS68" s="118"/>
      <c r="CT68" s="119"/>
      <c r="CU68" s="110"/>
      <c r="CV68" s="108"/>
      <c r="CW68" s="118"/>
      <c r="CX68" s="118"/>
      <c r="CY68" s="109"/>
      <c r="CZ68" s="118"/>
      <c r="DA68" s="118"/>
      <c r="DB68" s="119"/>
      <c r="DC68" s="110"/>
      <c r="DD68" s="108"/>
      <c r="DE68" s="118"/>
      <c r="DF68" s="118"/>
      <c r="DG68" s="109"/>
      <c r="DH68" s="118"/>
      <c r="DI68" s="118"/>
      <c r="DJ68" s="119"/>
      <c r="DK68" s="110"/>
      <c r="DL68" s="108"/>
      <c r="DM68" s="118"/>
      <c r="DN68" s="118"/>
      <c r="DO68" s="109"/>
      <c r="DP68" s="118"/>
      <c r="DQ68" s="118"/>
      <c r="DR68" s="119"/>
      <c r="DS68" s="110"/>
      <c r="DT68" s="108"/>
      <c r="DU68" s="118"/>
      <c r="DV68" s="118"/>
      <c r="DW68" s="118"/>
      <c r="DX68" s="118"/>
      <c r="DY68" s="118"/>
      <c r="DZ68" s="119"/>
      <c r="EA68" s="110"/>
      <c r="EB68" s="172"/>
      <c r="EC68" s="118"/>
      <c r="ED68" s="118"/>
      <c r="EE68" s="118"/>
      <c r="EF68" s="119"/>
    </row>
    <row r="69" spans="1:136" s="100" customFormat="1" x14ac:dyDescent="0.25">
      <c r="A69" s="89"/>
      <c r="B69" s="103"/>
      <c r="C69" s="103"/>
      <c r="D69" s="108"/>
      <c r="E69" s="442"/>
      <c r="F69" s="442"/>
      <c r="G69" s="442"/>
      <c r="H69" s="442"/>
      <c r="I69" s="442"/>
      <c r="J69" s="104"/>
      <c r="K69" s="103"/>
      <c r="L69" s="108"/>
      <c r="M69" s="442"/>
      <c r="N69" s="442"/>
      <c r="O69" s="442"/>
      <c r="P69" s="442"/>
      <c r="Q69" s="442"/>
      <c r="R69" s="104"/>
      <c r="S69" s="103"/>
      <c r="T69" s="108"/>
      <c r="U69" s="464"/>
      <c r="V69" s="464"/>
      <c r="W69" s="464"/>
      <c r="X69" s="464"/>
      <c r="Y69" s="464"/>
      <c r="Z69" s="119"/>
      <c r="AA69" s="103"/>
      <c r="AB69" s="108"/>
      <c r="AC69" s="118"/>
      <c r="AD69" s="118"/>
      <c r="AE69" s="109"/>
      <c r="AF69" s="118"/>
      <c r="AG69" s="118"/>
      <c r="AH69" s="119"/>
      <c r="AI69" s="103"/>
      <c r="AJ69" s="108"/>
      <c r="AK69" s="118"/>
      <c r="AL69" s="118"/>
      <c r="AM69" s="109"/>
      <c r="AN69" s="118"/>
      <c r="AO69" s="118"/>
      <c r="AP69" s="119"/>
      <c r="AQ69" s="103"/>
      <c r="AR69" s="108"/>
      <c r="AS69" s="118"/>
      <c r="AT69" s="118"/>
      <c r="AU69" s="109"/>
      <c r="AV69" s="118"/>
      <c r="AW69" s="118"/>
      <c r="AX69" s="119"/>
      <c r="AY69" s="103"/>
      <c r="AZ69" s="108"/>
      <c r="BA69" s="118"/>
      <c r="BB69" s="118"/>
      <c r="BC69" s="109"/>
      <c r="BD69" s="118"/>
      <c r="BE69" s="118"/>
      <c r="BF69" s="119"/>
      <c r="BG69" s="103"/>
      <c r="BH69" s="108"/>
      <c r="BI69" s="118"/>
      <c r="BJ69" s="118"/>
      <c r="BK69" s="109"/>
      <c r="BL69" s="118"/>
      <c r="BM69" s="118"/>
      <c r="BN69" s="119"/>
      <c r="BO69" s="89"/>
      <c r="BP69" s="108"/>
      <c r="BQ69" s="118"/>
      <c r="BR69" s="118"/>
      <c r="BS69" s="109"/>
      <c r="BT69" s="118"/>
      <c r="BU69" s="118"/>
      <c r="BV69" s="119"/>
      <c r="BW69" s="110"/>
      <c r="BX69" s="108"/>
      <c r="BY69" s="118"/>
      <c r="BZ69" s="118"/>
      <c r="CA69" s="109"/>
      <c r="CB69" s="118"/>
      <c r="CC69" s="118"/>
      <c r="CD69" s="119"/>
      <c r="CE69" s="110"/>
      <c r="CF69" s="108"/>
      <c r="CG69" s="118"/>
      <c r="CH69" s="118"/>
      <c r="CI69" s="109"/>
      <c r="CJ69" s="118"/>
      <c r="CK69" s="118"/>
      <c r="CL69" s="119"/>
      <c r="CM69" s="110"/>
      <c r="CN69" s="108"/>
      <c r="CO69" s="118"/>
      <c r="CP69" s="118"/>
      <c r="CQ69" s="109"/>
      <c r="CR69" s="118"/>
      <c r="CS69" s="118"/>
      <c r="CT69" s="119"/>
      <c r="CU69" s="110"/>
      <c r="CV69" s="108"/>
      <c r="CW69" s="118"/>
      <c r="CX69" s="118"/>
      <c r="CY69" s="109"/>
      <c r="CZ69" s="118"/>
      <c r="DA69" s="118"/>
      <c r="DB69" s="119"/>
      <c r="DC69" s="110"/>
      <c r="DD69" s="108"/>
      <c r="DE69" s="118"/>
      <c r="DF69" s="118"/>
      <c r="DG69" s="109"/>
      <c r="DH69" s="118"/>
      <c r="DI69" s="118"/>
      <c r="DJ69" s="119"/>
      <c r="DK69" s="110"/>
      <c r="DL69" s="108"/>
      <c r="DM69" s="118"/>
      <c r="DN69" s="118"/>
      <c r="DO69" s="109"/>
      <c r="DP69" s="118"/>
      <c r="DQ69" s="118"/>
      <c r="DR69" s="119"/>
      <c r="DS69" s="110"/>
      <c r="DT69" s="108"/>
      <c r="DU69" s="118"/>
      <c r="DV69" s="118"/>
      <c r="DW69" s="118"/>
      <c r="DX69" s="118"/>
      <c r="DY69" s="118"/>
      <c r="DZ69" s="119"/>
      <c r="EA69" s="110"/>
      <c r="EB69" s="172"/>
      <c r="EC69" s="118"/>
      <c r="ED69" s="118"/>
      <c r="EE69" s="118"/>
      <c r="EF69" s="119"/>
    </row>
    <row r="70" spans="1:136" s="100" customFormat="1" x14ac:dyDescent="0.25">
      <c r="A70" s="222" t="s">
        <v>67</v>
      </c>
      <c r="B70" s="103"/>
      <c r="C70" s="103"/>
      <c r="D70" s="108"/>
      <c r="E70" s="442"/>
      <c r="F70" s="442"/>
      <c r="G70" s="442"/>
      <c r="H70" s="442"/>
      <c r="I70" s="442"/>
      <c r="J70" s="104"/>
      <c r="K70" s="103"/>
      <c r="L70" s="108"/>
      <c r="M70" s="442"/>
      <c r="N70" s="442"/>
      <c r="O70" s="442"/>
      <c r="P70" s="442"/>
      <c r="Q70" s="442"/>
      <c r="R70" s="104"/>
      <c r="S70" s="103"/>
      <c r="T70" s="108"/>
      <c r="U70" s="109"/>
      <c r="V70" s="464"/>
      <c r="W70" s="464"/>
      <c r="X70" s="464"/>
      <c r="Y70" s="464"/>
      <c r="Z70" s="119"/>
      <c r="AA70" s="103"/>
      <c r="AB70" s="108"/>
      <c r="AC70" s="109"/>
      <c r="AD70" s="118"/>
      <c r="AE70" s="109"/>
      <c r="AF70" s="118"/>
      <c r="AG70" s="109"/>
      <c r="AH70" s="119"/>
      <c r="AI70" s="103"/>
      <c r="AJ70" s="108"/>
      <c r="AK70" s="109"/>
      <c r="AL70" s="118"/>
      <c r="AM70" s="109"/>
      <c r="AN70" s="118"/>
      <c r="AO70" s="109"/>
      <c r="AP70" s="119"/>
      <c r="AQ70" s="103"/>
      <c r="AR70" s="108"/>
      <c r="AS70" s="109"/>
      <c r="AT70" s="118"/>
      <c r="AU70" s="109"/>
      <c r="AV70" s="118"/>
      <c r="AW70" s="109"/>
      <c r="AX70" s="119"/>
      <c r="AY70" s="103"/>
      <c r="AZ70" s="108"/>
      <c r="BA70" s="109"/>
      <c r="BB70" s="118"/>
      <c r="BC70" s="109"/>
      <c r="BD70" s="118"/>
      <c r="BE70" s="109"/>
      <c r="BF70" s="119"/>
      <c r="BG70" s="103"/>
      <c r="BH70" s="108"/>
      <c r="BI70" s="109"/>
      <c r="BJ70" s="118"/>
      <c r="BK70" s="109"/>
      <c r="BL70" s="118"/>
      <c r="BM70" s="109"/>
      <c r="BN70" s="119"/>
      <c r="BO70" s="89"/>
      <c r="BP70" s="108"/>
      <c r="BQ70" s="109"/>
      <c r="BR70" s="118"/>
      <c r="BS70" s="109"/>
      <c r="BT70" s="118"/>
      <c r="BU70" s="109"/>
      <c r="BV70" s="119"/>
      <c r="BW70" s="110"/>
      <c r="BX70" s="108"/>
      <c r="BY70" s="109"/>
      <c r="BZ70" s="118"/>
      <c r="CA70" s="109"/>
      <c r="CB70" s="118"/>
      <c r="CC70" s="122"/>
      <c r="CD70" s="119"/>
      <c r="CE70" s="110"/>
      <c r="CF70" s="108"/>
      <c r="CG70" s="109"/>
      <c r="CH70" s="118"/>
      <c r="CI70" s="109"/>
      <c r="CJ70" s="118"/>
      <c r="CK70" s="109"/>
      <c r="CL70" s="119"/>
      <c r="CM70" s="110"/>
      <c r="CN70" s="108"/>
      <c r="CO70" s="109"/>
      <c r="CP70" s="118"/>
      <c r="CQ70" s="109"/>
      <c r="CR70" s="118"/>
      <c r="CS70" s="109"/>
      <c r="CT70" s="119"/>
      <c r="CU70" s="110"/>
      <c r="CV70" s="108"/>
      <c r="CW70" s="109"/>
      <c r="CX70" s="118"/>
      <c r="CY70" s="109"/>
      <c r="CZ70" s="118"/>
      <c r="DA70" s="109"/>
      <c r="DB70" s="119"/>
      <c r="DC70" s="110"/>
      <c r="DD70" s="108"/>
      <c r="DE70" s="109"/>
      <c r="DF70" s="118"/>
      <c r="DG70" s="109"/>
      <c r="DH70" s="118"/>
      <c r="DI70" s="109"/>
      <c r="DJ70" s="119"/>
      <c r="DK70" s="110"/>
      <c r="DL70" s="108"/>
      <c r="DM70" s="109"/>
      <c r="DN70" s="118"/>
      <c r="DO70" s="109"/>
      <c r="DP70" s="118"/>
      <c r="DQ70" s="109"/>
      <c r="DR70" s="119"/>
      <c r="DS70" s="110"/>
      <c r="DT70" s="108"/>
      <c r="DU70" s="103"/>
      <c r="DV70" s="118"/>
      <c r="DW70" s="103"/>
      <c r="DX70" s="118"/>
      <c r="DY70" s="103"/>
      <c r="DZ70" s="119"/>
      <c r="EA70" s="110"/>
      <c r="EB70" s="172"/>
      <c r="EC70" s="103"/>
      <c r="ED70" s="118"/>
      <c r="EE70" s="103"/>
      <c r="EF70" s="119"/>
    </row>
    <row r="71" spans="1:136" s="100" customFormat="1" x14ac:dyDescent="0.25">
      <c r="A71" s="89" t="s">
        <v>68</v>
      </c>
      <c r="B71" s="103"/>
      <c r="C71" s="103"/>
      <c r="D71" s="443"/>
      <c r="E71" s="466"/>
      <c r="F71" s="466"/>
      <c r="G71" s="466"/>
      <c r="H71" s="466"/>
      <c r="I71" s="466"/>
      <c r="J71" s="147">
        <v>0.71799999999999997</v>
      </c>
      <c r="K71" s="103"/>
      <c r="L71" s="443"/>
      <c r="M71" s="466"/>
      <c r="N71" s="466"/>
      <c r="O71" s="466"/>
      <c r="P71" s="466"/>
      <c r="Q71" s="466">
        <v>0.71799999999999997</v>
      </c>
      <c r="R71" s="147"/>
      <c r="S71" s="103"/>
      <c r="T71" s="443"/>
      <c r="U71" s="466"/>
      <c r="V71" s="465"/>
      <c r="W71" s="465"/>
      <c r="X71" s="465"/>
      <c r="Y71" s="125">
        <v>0.71799999999999997</v>
      </c>
      <c r="Z71" s="126"/>
      <c r="AA71" s="103"/>
      <c r="AB71" s="108"/>
      <c r="AC71" s="118"/>
      <c r="AD71" s="124"/>
      <c r="AE71" s="109"/>
      <c r="AF71" s="124"/>
      <c r="AG71" s="125">
        <v>0.69399999999999995</v>
      </c>
      <c r="AH71" s="126"/>
      <c r="AI71" s="103"/>
      <c r="AJ71" s="108"/>
      <c r="AK71" s="118"/>
      <c r="AL71" s="124"/>
      <c r="AM71" s="109"/>
      <c r="AN71" s="124"/>
      <c r="AO71" s="125">
        <v>0.69399999999999995</v>
      </c>
      <c r="AP71" s="126"/>
      <c r="AQ71" s="103"/>
      <c r="AR71" s="108"/>
      <c r="AS71" s="118"/>
      <c r="AT71" s="124"/>
      <c r="AU71" s="109"/>
      <c r="AV71" s="124"/>
      <c r="AW71" s="125">
        <v>0.69399999999999995</v>
      </c>
      <c r="AX71" s="126"/>
      <c r="AY71" s="103"/>
      <c r="AZ71" s="108"/>
      <c r="BA71" s="118"/>
      <c r="BB71" s="124"/>
      <c r="BC71" s="109"/>
      <c r="BD71" s="124"/>
      <c r="BE71" s="125">
        <v>0.69399999999999995</v>
      </c>
      <c r="BF71" s="126"/>
      <c r="BG71" s="103"/>
      <c r="BH71" s="108"/>
      <c r="BI71" s="118"/>
      <c r="BJ71" s="124"/>
      <c r="BK71" s="109"/>
      <c r="BL71" s="124"/>
      <c r="BM71" s="125">
        <v>0.69399999999999995</v>
      </c>
      <c r="BN71" s="126"/>
      <c r="BO71" s="89"/>
      <c r="BP71" s="108"/>
      <c r="BQ71" s="118"/>
      <c r="BR71" s="124"/>
      <c r="BS71" s="109"/>
      <c r="BT71" s="124"/>
      <c r="BU71" s="125">
        <v>0.69399999999999995</v>
      </c>
      <c r="BV71" s="126"/>
      <c r="BW71" s="110"/>
      <c r="BX71" s="108"/>
      <c r="BY71" s="118"/>
      <c r="BZ71" s="124"/>
      <c r="CA71" s="109"/>
      <c r="CB71" s="124"/>
      <c r="CC71" s="125">
        <v>0.69399999999999995</v>
      </c>
      <c r="CD71" s="126"/>
      <c r="CE71" s="110"/>
      <c r="CF71" s="108"/>
      <c r="CG71" s="118"/>
      <c r="CH71" s="124"/>
      <c r="CI71" s="109"/>
      <c r="CJ71" s="124"/>
      <c r="CK71" s="125">
        <v>0.69399999999999995</v>
      </c>
      <c r="CL71" s="126"/>
      <c r="CM71" s="110"/>
      <c r="CN71" s="108"/>
      <c r="CO71" s="118"/>
      <c r="CP71" s="124"/>
      <c r="CQ71" s="109"/>
      <c r="CR71" s="124"/>
      <c r="CS71" s="125">
        <v>0.69599999999999995</v>
      </c>
      <c r="CT71" s="126"/>
      <c r="CU71" s="110"/>
      <c r="CV71" s="108"/>
      <c r="CW71" s="118"/>
      <c r="CX71" s="124"/>
      <c r="CY71" s="109"/>
      <c r="CZ71" s="124"/>
      <c r="DA71" s="125">
        <v>0.69599999999999995</v>
      </c>
      <c r="DB71" s="126"/>
      <c r="DC71" s="110"/>
      <c r="DD71" s="108"/>
      <c r="DE71" s="118"/>
      <c r="DF71" s="124"/>
      <c r="DG71" s="109"/>
      <c r="DH71" s="124"/>
      <c r="DI71" s="125">
        <v>0.70199999999999996</v>
      </c>
      <c r="DJ71" s="126"/>
      <c r="DK71" s="110"/>
      <c r="DL71" s="108"/>
      <c r="DM71" s="118"/>
      <c r="DN71" s="124"/>
      <c r="DO71" s="109"/>
      <c r="DP71" s="124"/>
      <c r="DQ71" s="125">
        <v>0.70199999999999996</v>
      </c>
      <c r="DR71" s="126"/>
      <c r="DS71" s="110"/>
      <c r="DT71" s="108"/>
      <c r="DU71" s="103"/>
      <c r="DV71" s="124"/>
      <c r="DW71" s="103"/>
      <c r="DX71" s="124"/>
      <c r="DY71" s="125">
        <v>0.70199999999999996</v>
      </c>
      <c r="DZ71" s="126"/>
      <c r="EA71" s="110"/>
      <c r="EB71" s="204"/>
      <c r="EC71" s="103"/>
      <c r="ED71" s="124"/>
      <c r="EE71" s="125">
        <v>0.70199999999999996</v>
      </c>
      <c r="EF71" s="126"/>
    </row>
    <row r="72" spans="1:136" s="100" customFormat="1" ht="15.75" thickBot="1" x14ac:dyDescent="0.3">
      <c r="A72" s="89" t="s">
        <v>69</v>
      </c>
      <c r="B72" s="103"/>
      <c r="C72" s="103"/>
      <c r="D72" s="444"/>
      <c r="E72" s="136"/>
      <c r="F72" s="136"/>
      <c r="G72" s="136"/>
      <c r="H72" s="136"/>
      <c r="I72" s="136"/>
      <c r="J72" s="151">
        <v>0.67600000000000005</v>
      </c>
      <c r="K72" s="103"/>
      <c r="L72" s="444"/>
      <c r="M72" s="136"/>
      <c r="N72" s="136"/>
      <c r="O72" s="136"/>
      <c r="P72" s="136"/>
      <c r="Q72" s="136">
        <v>0.67600000000000005</v>
      </c>
      <c r="R72" s="151"/>
      <c r="S72" s="103"/>
      <c r="T72" s="444"/>
      <c r="U72" s="136"/>
      <c r="V72" s="467"/>
      <c r="W72" s="467"/>
      <c r="X72" s="467"/>
      <c r="Y72" s="136">
        <v>0.69599999999999995</v>
      </c>
      <c r="Z72" s="137"/>
      <c r="AA72" s="103"/>
      <c r="AB72" s="128"/>
      <c r="AC72" s="133"/>
      <c r="AD72" s="134"/>
      <c r="AE72" s="135"/>
      <c r="AF72" s="134"/>
      <c r="AG72" s="136">
        <v>0.65400000000000003</v>
      </c>
      <c r="AH72" s="137"/>
      <c r="AI72" s="103"/>
      <c r="AJ72" s="128"/>
      <c r="AK72" s="133"/>
      <c r="AL72" s="134"/>
      <c r="AM72" s="135"/>
      <c r="AN72" s="134"/>
      <c r="AO72" s="136">
        <v>0.69199999999999995</v>
      </c>
      <c r="AP72" s="137"/>
      <c r="AQ72" s="103"/>
      <c r="AR72" s="128"/>
      <c r="AS72" s="133"/>
      <c r="AT72" s="134"/>
      <c r="AU72" s="135"/>
      <c r="AV72" s="134"/>
      <c r="AW72" s="136">
        <v>0.69199999999999995</v>
      </c>
      <c r="AX72" s="137"/>
      <c r="AY72" s="103"/>
      <c r="AZ72" s="128"/>
      <c r="BA72" s="133"/>
      <c r="BB72" s="134"/>
      <c r="BC72" s="135"/>
      <c r="BD72" s="134"/>
      <c r="BE72" s="136">
        <v>0.69299999999999995</v>
      </c>
      <c r="BF72" s="137"/>
      <c r="BG72" s="103"/>
      <c r="BH72" s="128"/>
      <c r="BI72" s="133"/>
      <c r="BJ72" s="134"/>
      <c r="BK72" s="135"/>
      <c r="BL72" s="134"/>
      <c r="BM72" s="136">
        <v>0.69299999999999995</v>
      </c>
      <c r="BN72" s="137"/>
      <c r="BO72" s="132"/>
      <c r="BP72" s="128"/>
      <c r="BQ72" s="133"/>
      <c r="BR72" s="134"/>
      <c r="BS72" s="135"/>
      <c r="BT72" s="134"/>
      <c r="BU72" s="136">
        <v>0.69299999999999995</v>
      </c>
      <c r="BV72" s="137"/>
      <c r="BW72" s="138"/>
      <c r="BX72" s="128"/>
      <c r="BY72" s="133"/>
      <c r="BZ72" s="134"/>
      <c r="CA72" s="135"/>
      <c r="CB72" s="134"/>
      <c r="CC72" s="136">
        <v>0.69399999999999995</v>
      </c>
      <c r="CD72" s="137"/>
      <c r="CE72" s="138"/>
      <c r="CF72" s="128"/>
      <c r="CG72" s="133"/>
      <c r="CH72" s="134"/>
      <c r="CI72" s="135"/>
      <c r="CJ72" s="134"/>
      <c r="CK72" s="136">
        <v>0.69399999999999995</v>
      </c>
      <c r="CL72" s="137"/>
      <c r="CM72" s="138"/>
      <c r="CN72" s="128"/>
      <c r="CO72" s="133"/>
      <c r="CP72" s="134"/>
      <c r="CQ72" s="135"/>
      <c r="CR72" s="134"/>
      <c r="CS72" s="136">
        <v>0.69399999999999995</v>
      </c>
      <c r="CT72" s="137"/>
      <c r="CU72" s="129"/>
      <c r="CV72" s="128"/>
      <c r="CW72" s="133"/>
      <c r="CX72" s="134"/>
      <c r="CY72" s="135"/>
      <c r="CZ72" s="134"/>
      <c r="DA72" s="136">
        <v>0.69399999999999995</v>
      </c>
      <c r="DB72" s="137"/>
      <c r="DC72" s="129"/>
      <c r="DD72" s="128"/>
      <c r="DE72" s="133"/>
      <c r="DF72" s="134"/>
      <c r="DG72" s="135"/>
      <c r="DH72" s="134"/>
      <c r="DI72" s="136">
        <v>0.70199999999999996</v>
      </c>
      <c r="DJ72" s="137"/>
      <c r="DK72" s="129"/>
      <c r="DL72" s="128"/>
      <c r="DM72" s="133"/>
      <c r="DN72" s="134"/>
      <c r="DO72" s="135"/>
      <c r="DP72" s="134"/>
      <c r="DQ72" s="136">
        <v>0.70199999999999996</v>
      </c>
      <c r="DR72" s="137"/>
      <c r="DS72" s="129"/>
      <c r="DT72" s="128"/>
      <c r="DU72" s="129"/>
      <c r="DV72" s="134"/>
      <c r="DW72" s="129"/>
      <c r="DX72" s="134"/>
      <c r="DY72" s="129"/>
      <c r="DZ72" s="137"/>
      <c r="EA72" s="129"/>
      <c r="EB72" s="205"/>
      <c r="EC72" s="129"/>
      <c r="ED72" s="134"/>
      <c r="EE72" s="129"/>
      <c r="EF72" s="137"/>
    </row>
    <row r="73" spans="1:136" s="100" customFormat="1" x14ac:dyDescent="0.25">
      <c r="B73" s="139"/>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40"/>
      <c r="BK73" s="140"/>
      <c r="BL73" s="140"/>
      <c r="BM73" s="140"/>
      <c r="BN73" s="140"/>
      <c r="BP73" s="141"/>
      <c r="BQ73" s="142"/>
      <c r="BR73" s="142"/>
      <c r="BT73" s="142"/>
      <c r="BU73" s="142"/>
      <c r="BW73" s="143"/>
      <c r="BX73" s="141"/>
      <c r="BY73" s="141"/>
      <c r="BZ73" s="142"/>
      <c r="CA73" s="142"/>
      <c r="CB73" s="142"/>
      <c r="CC73" s="142"/>
      <c r="CD73" s="142"/>
      <c r="CE73" s="143"/>
      <c r="CF73" s="141"/>
      <c r="CG73" s="141"/>
      <c r="CH73" s="142"/>
      <c r="CI73" s="142"/>
      <c r="CJ73" s="142"/>
      <c r="CK73" s="142"/>
      <c r="CL73" s="142"/>
      <c r="CM73" s="143"/>
      <c r="CN73" s="141"/>
      <c r="CO73" s="141"/>
      <c r="CP73" s="142"/>
      <c r="CQ73" s="142"/>
      <c r="CR73" s="142"/>
      <c r="CS73" s="142"/>
      <c r="CT73" s="142"/>
      <c r="CU73" s="143"/>
      <c r="CV73" s="141"/>
      <c r="CW73" s="141"/>
      <c r="CX73" s="142"/>
      <c r="CY73" s="142"/>
      <c r="CZ73" s="142"/>
      <c r="DA73" s="142"/>
      <c r="DB73" s="142"/>
      <c r="DC73" s="143"/>
      <c r="DD73" s="141"/>
      <c r="DE73" s="141"/>
      <c r="DF73" s="142"/>
      <c r="DG73" s="142"/>
      <c r="DH73" s="142"/>
      <c r="DI73" s="142"/>
      <c r="DJ73" s="142"/>
      <c r="DK73" s="143"/>
      <c r="DL73" s="141"/>
      <c r="DM73" s="141"/>
      <c r="DN73" s="142"/>
      <c r="DO73" s="142"/>
      <c r="DP73" s="142"/>
      <c r="DQ73" s="142"/>
      <c r="DR73" s="142"/>
      <c r="DS73" s="143"/>
      <c r="DT73" s="142"/>
      <c r="DU73" s="142"/>
      <c r="DV73" s="142"/>
      <c r="DW73" s="142"/>
      <c r="DX73" s="142"/>
      <c r="DY73" s="142"/>
      <c r="DZ73" s="142"/>
      <c r="EA73" s="143"/>
      <c r="EB73" s="142"/>
      <c r="EC73" s="142"/>
      <c r="ED73" s="142"/>
      <c r="EE73" s="142"/>
      <c r="EF73" s="142"/>
    </row>
    <row r="74" spans="1:136" hidden="1" outlineLevel="1" x14ac:dyDescent="0.25">
      <c r="A74" s="275" t="s">
        <v>37</v>
      </c>
      <c r="D74" s="276">
        <f t="shared" ref="D74:J74" si="4">D25-D26-D27</f>
        <v>0</v>
      </c>
      <c r="E74" s="276">
        <f t="shared" si="4"/>
        <v>0</v>
      </c>
      <c r="F74" s="276">
        <f t="shared" si="4"/>
        <v>0</v>
      </c>
      <c r="G74" s="276">
        <f t="shared" si="4"/>
        <v>0</v>
      </c>
      <c r="H74" s="276">
        <f t="shared" si="4"/>
        <v>0</v>
      </c>
      <c r="I74" s="276">
        <f t="shared" si="4"/>
        <v>0</v>
      </c>
      <c r="J74" s="276">
        <f t="shared" si="4"/>
        <v>0</v>
      </c>
      <c r="L74" s="276">
        <f t="shared" ref="L74:R74" si="5">L25-L26-L27</f>
        <v>0</v>
      </c>
      <c r="M74" s="276">
        <f t="shared" si="5"/>
        <v>0</v>
      </c>
      <c r="N74" s="276">
        <f t="shared" si="5"/>
        <v>0</v>
      </c>
      <c r="O74" s="276">
        <f t="shared" si="5"/>
        <v>0</v>
      </c>
      <c r="P74" s="276">
        <f t="shared" si="5"/>
        <v>0</v>
      </c>
      <c r="Q74" s="276">
        <f t="shared" si="5"/>
        <v>0</v>
      </c>
      <c r="R74" s="276">
        <f t="shared" si="5"/>
        <v>0</v>
      </c>
      <c r="T74" s="276">
        <f t="shared" ref="T74:Z74" si="6">T25-T26-T27</f>
        <v>0</v>
      </c>
      <c r="U74" s="276">
        <f t="shared" si="6"/>
        <v>0</v>
      </c>
      <c r="V74" s="276">
        <f t="shared" si="6"/>
        <v>0</v>
      </c>
      <c r="W74" s="276">
        <f t="shared" si="6"/>
        <v>0</v>
      </c>
      <c r="X74" s="276">
        <f t="shared" si="6"/>
        <v>0</v>
      </c>
      <c r="Y74" s="276">
        <f t="shared" si="6"/>
        <v>0</v>
      </c>
      <c r="Z74" s="276">
        <f t="shared" si="6"/>
        <v>0</v>
      </c>
      <c r="AB74" s="276">
        <f t="shared" ref="AB74:AH74" si="7">AB25-AB26-AB27</f>
        <v>0</v>
      </c>
      <c r="AC74" s="276">
        <f t="shared" si="7"/>
        <v>0</v>
      </c>
      <c r="AD74" s="276">
        <f t="shared" si="7"/>
        <v>0</v>
      </c>
      <c r="AE74" s="276">
        <f t="shared" si="7"/>
        <v>0</v>
      </c>
      <c r="AF74" s="276">
        <f t="shared" si="7"/>
        <v>0</v>
      </c>
      <c r="AG74" s="276">
        <f t="shared" si="7"/>
        <v>0</v>
      </c>
      <c r="AH74" s="276">
        <f t="shared" si="7"/>
        <v>0</v>
      </c>
      <c r="AJ74" s="276">
        <f t="shared" ref="AJ74:AP74" si="8">AJ25-AJ26-AJ27</f>
        <v>0</v>
      </c>
      <c r="AK74" s="276">
        <f t="shared" si="8"/>
        <v>0</v>
      </c>
      <c r="AL74" s="276">
        <f t="shared" si="8"/>
        <v>0</v>
      </c>
      <c r="AM74" s="276">
        <f t="shared" si="8"/>
        <v>0</v>
      </c>
      <c r="AN74" s="276">
        <f t="shared" si="8"/>
        <v>0</v>
      </c>
      <c r="AO74" s="276">
        <f t="shared" si="8"/>
        <v>0</v>
      </c>
      <c r="AP74" s="276">
        <f t="shared" si="8"/>
        <v>0</v>
      </c>
      <c r="AR74" s="276">
        <f t="shared" ref="AR74:AX74" si="9">AR25-AR26-AR27</f>
        <v>0</v>
      </c>
      <c r="AS74" s="276">
        <f t="shared" si="9"/>
        <v>0</v>
      </c>
      <c r="AT74" s="276">
        <f t="shared" si="9"/>
        <v>0</v>
      </c>
      <c r="AU74" s="276">
        <f t="shared" si="9"/>
        <v>0</v>
      </c>
      <c r="AV74" s="276">
        <f t="shared" si="9"/>
        <v>0</v>
      </c>
      <c r="AW74" s="276">
        <f t="shared" si="9"/>
        <v>0</v>
      </c>
      <c r="AX74" s="276">
        <f t="shared" si="9"/>
        <v>0</v>
      </c>
      <c r="AZ74" s="276">
        <f t="shared" ref="AZ74:BF74" si="10">AZ25-AZ26-AZ27</f>
        <v>0</v>
      </c>
      <c r="BA74" s="276">
        <f t="shared" si="10"/>
        <v>0</v>
      </c>
      <c r="BB74" s="276">
        <f t="shared" si="10"/>
        <v>0</v>
      </c>
      <c r="BC74" s="276">
        <f t="shared" si="10"/>
        <v>0</v>
      </c>
      <c r="BD74" s="276">
        <f t="shared" si="10"/>
        <v>0</v>
      </c>
      <c r="BE74" s="276">
        <f t="shared" si="10"/>
        <v>0</v>
      </c>
      <c r="BF74" s="276">
        <f t="shared" si="10"/>
        <v>0</v>
      </c>
      <c r="BH74" s="276">
        <f t="shared" ref="BH74:BN74" si="11">BH25-BH26-BH27</f>
        <v>0</v>
      </c>
      <c r="BI74" s="276">
        <f t="shared" si="11"/>
        <v>0</v>
      </c>
      <c r="BJ74" s="276">
        <f t="shared" si="11"/>
        <v>0</v>
      </c>
      <c r="BK74" s="276">
        <f t="shared" si="11"/>
        <v>0</v>
      </c>
      <c r="BL74" s="276">
        <f t="shared" si="11"/>
        <v>0</v>
      </c>
      <c r="BM74" s="276">
        <f t="shared" si="11"/>
        <v>0</v>
      </c>
      <c r="BN74" s="276">
        <f t="shared" si="11"/>
        <v>0</v>
      </c>
      <c r="BP74" s="276">
        <f t="shared" ref="BP74:BV74" si="12">BP25-BP26-BP27</f>
        <v>0</v>
      </c>
      <c r="BQ74" s="276">
        <f t="shared" si="12"/>
        <v>0</v>
      </c>
      <c r="BR74" s="276">
        <f t="shared" si="12"/>
        <v>0</v>
      </c>
      <c r="BS74" s="276">
        <f t="shared" si="12"/>
        <v>0</v>
      </c>
      <c r="BT74" s="276">
        <f t="shared" si="12"/>
        <v>0</v>
      </c>
      <c r="BU74" s="276">
        <f t="shared" si="12"/>
        <v>0</v>
      </c>
      <c r="BV74" s="276">
        <f t="shared" si="12"/>
        <v>0</v>
      </c>
      <c r="BX74" s="276">
        <f t="shared" ref="BX74:CD74" si="13">BX25-BX26-BX27</f>
        <v>0</v>
      </c>
      <c r="BY74" s="276">
        <f t="shared" si="13"/>
        <v>0</v>
      </c>
      <c r="BZ74" s="276">
        <f t="shared" si="13"/>
        <v>0</v>
      </c>
      <c r="CA74" s="276">
        <f t="shared" si="13"/>
        <v>0</v>
      </c>
      <c r="CB74" s="276">
        <f t="shared" si="13"/>
        <v>0</v>
      </c>
      <c r="CC74" s="276">
        <f t="shared" si="13"/>
        <v>0</v>
      </c>
      <c r="CD74" s="276">
        <f t="shared" si="13"/>
        <v>0</v>
      </c>
      <c r="CF74" s="276">
        <f t="shared" ref="CF74:CL74" si="14">CF25-CF26-CF27</f>
        <v>0</v>
      </c>
      <c r="CG74" s="276">
        <f t="shared" si="14"/>
        <v>0</v>
      </c>
      <c r="CH74" s="276">
        <f t="shared" si="14"/>
        <v>0</v>
      </c>
      <c r="CI74" s="276">
        <f t="shared" si="14"/>
        <v>0</v>
      </c>
      <c r="CJ74" s="276">
        <f t="shared" si="14"/>
        <v>0</v>
      </c>
      <c r="CK74" s="276">
        <f t="shared" si="14"/>
        <v>0</v>
      </c>
      <c r="CL74" s="276">
        <f t="shared" si="14"/>
        <v>0</v>
      </c>
      <c r="CN74" s="276">
        <f t="shared" ref="CN74:CT74" si="15">CN25-CN26-CN27</f>
        <v>0</v>
      </c>
      <c r="CO74" s="276">
        <f t="shared" si="15"/>
        <v>0</v>
      </c>
      <c r="CP74" s="276">
        <f t="shared" si="15"/>
        <v>0</v>
      </c>
      <c r="CQ74" s="276">
        <f t="shared" si="15"/>
        <v>0</v>
      </c>
      <c r="CR74" s="276">
        <f t="shared" si="15"/>
        <v>0</v>
      </c>
      <c r="CS74" s="276">
        <f t="shared" si="15"/>
        <v>0</v>
      </c>
      <c r="CT74" s="276">
        <f t="shared" si="15"/>
        <v>0</v>
      </c>
      <c r="CV74" s="276">
        <f t="shared" ref="CV74:DB74" si="16">CV25-CV26-CV27</f>
        <v>0</v>
      </c>
      <c r="CW74" s="276">
        <f t="shared" si="16"/>
        <v>0</v>
      </c>
      <c r="CX74" s="276">
        <f t="shared" si="16"/>
        <v>0</v>
      </c>
      <c r="CY74" s="276">
        <f t="shared" si="16"/>
        <v>0</v>
      </c>
      <c r="CZ74" s="276">
        <f t="shared" si="16"/>
        <v>0</v>
      </c>
      <c r="DA74" s="276">
        <f t="shared" si="16"/>
        <v>0</v>
      </c>
      <c r="DB74" s="276">
        <f t="shared" si="16"/>
        <v>0</v>
      </c>
      <c r="DD74" s="276">
        <f t="shared" ref="DD74:DJ74" si="17">DD25-DD26-DD27</f>
        <v>0</v>
      </c>
      <c r="DE74" s="276">
        <f t="shared" si="17"/>
        <v>0</v>
      </c>
      <c r="DF74" s="276">
        <f t="shared" si="17"/>
        <v>0</v>
      </c>
      <c r="DG74" s="276">
        <f t="shared" si="17"/>
        <v>0</v>
      </c>
      <c r="DH74" s="276">
        <f t="shared" si="17"/>
        <v>0</v>
      </c>
      <c r="DI74" s="276">
        <f t="shared" si="17"/>
        <v>0</v>
      </c>
      <c r="DJ74" s="276">
        <f t="shared" si="17"/>
        <v>0</v>
      </c>
      <c r="DL74" s="276">
        <f t="shared" ref="DL74:DR74" si="18">DL25-DL26-DL27</f>
        <v>0</v>
      </c>
      <c r="DM74" s="276">
        <f t="shared" si="18"/>
        <v>0</v>
      </c>
      <c r="DN74" s="276">
        <f t="shared" si="18"/>
        <v>0</v>
      </c>
      <c r="DO74" s="276">
        <f t="shared" si="18"/>
        <v>0</v>
      </c>
      <c r="DP74" s="276">
        <f t="shared" si="18"/>
        <v>0</v>
      </c>
      <c r="DQ74" s="276">
        <f t="shared" si="18"/>
        <v>0</v>
      </c>
      <c r="DR74" s="276">
        <f t="shared" si="18"/>
        <v>0</v>
      </c>
      <c r="DT74" s="276">
        <f t="shared" ref="DT74:DZ74" si="19">DT25-DT26-DT27</f>
        <v>0</v>
      </c>
      <c r="DU74" s="276">
        <f t="shared" si="19"/>
        <v>0</v>
      </c>
      <c r="DV74" s="276">
        <f t="shared" si="19"/>
        <v>0</v>
      </c>
      <c r="DW74" s="276">
        <f t="shared" si="19"/>
        <v>0</v>
      </c>
      <c r="DX74" s="276">
        <f t="shared" si="19"/>
        <v>0</v>
      </c>
      <c r="DY74" s="276">
        <f t="shared" si="19"/>
        <v>0</v>
      </c>
      <c r="DZ74" s="276">
        <f t="shared" si="19"/>
        <v>0</v>
      </c>
      <c r="EB74" s="276">
        <f>EB25-EB26-EB27</f>
        <v>0</v>
      </c>
      <c r="EC74" s="276">
        <f>EC25-EC26-EC27</f>
        <v>0</v>
      </c>
      <c r="ED74" s="276">
        <f>ED25-ED26-ED27</f>
        <v>0</v>
      </c>
      <c r="EE74" s="276">
        <f>EE25-EE26-EE27</f>
        <v>0</v>
      </c>
      <c r="EF74" s="276">
        <f>EF25-EF26-EF27</f>
        <v>0</v>
      </c>
    </row>
    <row r="75" spans="1:136" hidden="1" outlineLevel="1" x14ac:dyDescent="0.25">
      <c r="A75" s="277" t="s">
        <v>38</v>
      </c>
      <c r="D75" s="276">
        <f t="shared" ref="D75:J75" si="20">D27-SUM(D28:D32)-D33</f>
        <v>0</v>
      </c>
      <c r="E75" s="276">
        <f t="shared" si="20"/>
        <v>0</v>
      </c>
      <c r="F75" s="276">
        <f t="shared" si="20"/>
        <v>0</v>
      </c>
      <c r="G75" s="276">
        <f t="shared" si="20"/>
        <v>0</v>
      </c>
      <c r="H75" s="276">
        <f t="shared" si="20"/>
        <v>0</v>
      </c>
      <c r="I75" s="276">
        <f t="shared" si="20"/>
        <v>0</v>
      </c>
      <c r="J75" s="276">
        <f t="shared" si="20"/>
        <v>0</v>
      </c>
      <c r="L75" s="276">
        <f t="shared" ref="L75:R75" si="21">L27-SUM(L28:L32)-L33</f>
        <v>0</v>
      </c>
      <c r="M75" s="276">
        <f t="shared" si="21"/>
        <v>0</v>
      </c>
      <c r="N75" s="276">
        <f t="shared" si="21"/>
        <v>0</v>
      </c>
      <c r="O75" s="276">
        <f t="shared" si="21"/>
        <v>0</v>
      </c>
      <c r="P75" s="276">
        <f t="shared" si="21"/>
        <v>0</v>
      </c>
      <c r="Q75" s="276">
        <f t="shared" si="21"/>
        <v>0</v>
      </c>
      <c r="R75" s="276">
        <f t="shared" si="21"/>
        <v>0</v>
      </c>
      <c r="T75" s="276">
        <f t="shared" ref="T75:Z75" si="22">T27-SUM(T28:T32)-T33</f>
        <v>0</v>
      </c>
      <c r="U75" s="276">
        <f t="shared" si="22"/>
        <v>0</v>
      </c>
      <c r="V75" s="276">
        <f t="shared" si="22"/>
        <v>0</v>
      </c>
      <c r="W75" s="276">
        <f t="shared" si="22"/>
        <v>0</v>
      </c>
      <c r="X75" s="276">
        <f t="shared" si="22"/>
        <v>0</v>
      </c>
      <c r="Y75" s="276">
        <f t="shared" si="22"/>
        <v>0</v>
      </c>
      <c r="Z75" s="276">
        <f t="shared" si="22"/>
        <v>0</v>
      </c>
      <c r="AB75" s="276">
        <f t="shared" ref="AB75:AH75" si="23">AB27-SUM(AB28:AB32)-AB33</f>
        <v>0</v>
      </c>
      <c r="AC75" s="276">
        <f t="shared" si="23"/>
        <v>0</v>
      </c>
      <c r="AD75" s="276">
        <f t="shared" si="23"/>
        <v>0</v>
      </c>
      <c r="AE75" s="276">
        <f t="shared" si="23"/>
        <v>0</v>
      </c>
      <c r="AF75" s="276">
        <f t="shared" si="23"/>
        <v>0</v>
      </c>
      <c r="AG75" s="276">
        <f t="shared" si="23"/>
        <v>0</v>
      </c>
      <c r="AH75" s="276">
        <f t="shared" si="23"/>
        <v>0</v>
      </c>
      <c r="AJ75" s="276">
        <f t="shared" ref="AJ75:AP75" si="24">AJ27-SUM(AJ28:AJ32)-AJ33</f>
        <v>0</v>
      </c>
      <c r="AK75" s="276">
        <f t="shared" si="24"/>
        <v>0</v>
      </c>
      <c r="AL75" s="276">
        <f t="shared" si="24"/>
        <v>0</v>
      </c>
      <c r="AM75" s="276">
        <f t="shared" si="24"/>
        <v>0</v>
      </c>
      <c r="AN75" s="276">
        <f t="shared" si="24"/>
        <v>0</v>
      </c>
      <c r="AO75" s="276">
        <f t="shared" si="24"/>
        <v>0</v>
      </c>
      <c r="AP75" s="276">
        <f t="shared" si="24"/>
        <v>0</v>
      </c>
      <c r="AR75" s="276">
        <f t="shared" ref="AR75:AX75" si="25">AR27-SUM(AR28:AR32)-AR33</f>
        <v>0</v>
      </c>
      <c r="AS75" s="276">
        <f t="shared" si="25"/>
        <v>0</v>
      </c>
      <c r="AT75" s="276">
        <f t="shared" si="25"/>
        <v>0</v>
      </c>
      <c r="AU75" s="276">
        <f t="shared" si="25"/>
        <v>0</v>
      </c>
      <c r="AV75" s="276">
        <f t="shared" si="25"/>
        <v>0</v>
      </c>
      <c r="AW75" s="276">
        <f t="shared" si="25"/>
        <v>0</v>
      </c>
      <c r="AX75" s="276">
        <f t="shared" si="25"/>
        <v>0</v>
      </c>
      <c r="AZ75" s="276">
        <f t="shared" ref="AZ75:BF75" si="26">AZ27-SUM(AZ28:AZ32)-AZ33</f>
        <v>0</v>
      </c>
      <c r="BA75" s="276">
        <f t="shared" si="26"/>
        <v>0</v>
      </c>
      <c r="BB75" s="276">
        <f t="shared" si="26"/>
        <v>0</v>
      </c>
      <c r="BC75" s="276">
        <f t="shared" si="26"/>
        <v>0</v>
      </c>
      <c r="BD75" s="276">
        <f t="shared" si="26"/>
        <v>0</v>
      </c>
      <c r="BE75" s="276">
        <f t="shared" si="26"/>
        <v>0</v>
      </c>
      <c r="BF75" s="276">
        <f t="shared" si="26"/>
        <v>0</v>
      </c>
      <c r="BH75" s="276">
        <f t="shared" ref="BH75:BN75" si="27">BH27-SUM(BH28:BH32)-BH33</f>
        <v>0</v>
      </c>
      <c r="BI75" s="276">
        <f t="shared" si="27"/>
        <v>0</v>
      </c>
      <c r="BJ75" s="276">
        <f t="shared" si="27"/>
        <v>0</v>
      </c>
      <c r="BK75" s="276">
        <f t="shared" si="27"/>
        <v>0</v>
      </c>
      <c r="BL75" s="276">
        <f t="shared" si="27"/>
        <v>0</v>
      </c>
      <c r="BM75" s="276">
        <f t="shared" si="27"/>
        <v>0</v>
      </c>
      <c r="BN75" s="276">
        <f t="shared" si="27"/>
        <v>0</v>
      </c>
      <c r="BP75" s="276">
        <f t="shared" ref="BP75:BV75" si="28">BP27-SUM(BP28:BP32)-BP33</f>
        <v>0</v>
      </c>
      <c r="BQ75" s="276">
        <f t="shared" si="28"/>
        <v>0</v>
      </c>
      <c r="BR75" s="276">
        <f t="shared" si="28"/>
        <v>0</v>
      </c>
      <c r="BS75" s="276">
        <f t="shared" si="28"/>
        <v>0</v>
      </c>
      <c r="BT75" s="276">
        <f t="shared" si="28"/>
        <v>0</v>
      </c>
      <c r="BU75" s="276">
        <f t="shared" si="28"/>
        <v>0</v>
      </c>
      <c r="BV75" s="276">
        <f t="shared" si="28"/>
        <v>0</v>
      </c>
      <c r="BX75" s="276">
        <f t="shared" ref="BX75:CD75" si="29">BX27-SUM(BX28:BX32)-BX33</f>
        <v>0</v>
      </c>
      <c r="BY75" s="276">
        <f t="shared" si="29"/>
        <v>0</v>
      </c>
      <c r="BZ75" s="276">
        <f t="shared" si="29"/>
        <v>0</v>
      </c>
      <c r="CA75" s="276">
        <f t="shared" si="29"/>
        <v>0</v>
      </c>
      <c r="CB75" s="276">
        <f t="shared" si="29"/>
        <v>0</v>
      </c>
      <c r="CC75" s="276">
        <f t="shared" si="29"/>
        <v>0</v>
      </c>
      <c r="CD75" s="276">
        <f t="shared" si="29"/>
        <v>0</v>
      </c>
      <c r="CF75" s="276">
        <f t="shared" ref="CF75:CL75" si="30">CF27-SUM(CF28:CF32)-CF33</f>
        <v>0</v>
      </c>
      <c r="CG75" s="276">
        <f t="shared" si="30"/>
        <v>0</v>
      </c>
      <c r="CH75" s="276">
        <f t="shared" si="30"/>
        <v>0</v>
      </c>
      <c r="CI75" s="276">
        <f t="shared" si="30"/>
        <v>0</v>
      </c>
      <c r="CJ75" s="276">
        <f t="shared" si="30"/>
        <v>0</v>
      </c>
      <c r="CK75" s="276">
        <f t="shared" si="30"/>
        <v>0</v>
      </c>
      <c r="CL75" s="276">
        <f t="shared" si="30"/>
        <v>0</v>
      </c>
      <c r="CN75" s="276">
        <f t="shared" ref="CN75:CT75" si="31">CN27-SUM(CN28:CN32)-CN33</f>
        <v>0</v>
      </c>
      <c r="CO75" s="276">
        <f t="shared" si="31"/>
        <v>0</v>
      </c>
      <c r="CP75" s="276">
        <f t="shared" si="31"/>
        <v>0</v>
      </c>
      <c r="CQ75" s="276">
        <f t="shared" si="31"/>
        <v>0</v>
      </c>
      <c r="CR75" s="276">
        <f t="shared" si="31"/>
        <v>0</v>
      </c>
      <c r="CS75" s="276">
        <f t="shared" si="31"/>
        <v>0</v>
      </c>
      <c r="CT75" s="276">
        <f t="shared" si="31"/>
        <v>0</v>
      </c>
      <c r="CV75" s="276">
        <f t="shared" ref="CV75:DB75" si="32">CV27-SUM(CV28:CV32)-CV33</f>
        <v>0</v>
      </c>
      <c r="CW75" s="276">
        <f t="shared" si="32"/>
        <v>0</v>
      </c>
      <c r="CX75" s="276">
        <f t="shared" si="32"/>
        <v>0</v>
      </c>
      <c r="CY75" s="276">
        <f t="shared" si="32"/>
        <v>0</v>
      </c>
      <c r="CZ75" s="276">
        <f t="shared" si="32"/>
        <v>0</v>
      </c>
      <c r="DA75" s="276">
        <f t="shared" si="32"/>
        <v>0</v>
      </c>
      <c r="DB75" s="276">
        <f t="shared" si="32"/>
        <v>0</v>
      </c>
      <c r="DD75" s="276">
        <f t="shared" ref="DD75:DJ75" si="33">DD27-SUM(DD28:DD32)-DD33</f>
        <v>0</v>
      </c>
      <c r="DE75" s="276">
        <f t="shared" si="33"/>
        <v>0</v>
      </c>
      <c r="DF75" s="276">
        <f t="shared" si="33"/>
        <v>0</v>
      </c>
      <c r="DG75" s="276">
        <f t="shared" si="33"/>
        <v>0</v>
      </c>
      <c r="DH75" s="276">
        <f t="shared" si="33"/>
        <v>0</v>
      </c>
      <c r="DI75" s="276">
        <f t="shared" si="33"/>
        <v>0</v>
      </c>
      <c r="DJ75" s="276">
        <f t="shared" si="33"/>
        <v>0</v>
      </c>
      <c r="DL75" s="276">
        <f t="shared" ref="DL75:DR75" si="34">DL27-SUM(DL28:DL32)-DL33</f>
        <v>0</v>
      </c>
      <c r="DM75" s="276">
        <f t="shared" si="34"/>
        <v>0</v>
      </c>
      <c r="DN75" s="276">
        <f t="shared" si="34"/>
        <v>0</v>
      </c>
      <c r="DO75" s="276">
        <f t="shared" si="34"/>
        <v>0</v>
      </c>
      <c r="DP75" s="276">
        <f t="shared" si="34"/>
        <v>0</v>
      </c>
      <c r="DQ75" s="276">
        <f t="shared" si="34"/>
        <v>0</v>
      </c>
      <c r="DR75" s="276">
        <f t="shared" si="34"/>
        <v>0</v>
      </c>
      <c r="DT75" s="276">
        <f t="shared" ref="DT75:DZ75" si="35">DT27-SUM(DT28:DT32)-DT33</f>
        <v>0</v>
      </c>
      <c r="DU75" s="276">
        <f t="shared" si="35"/>
        <v>0</v>
      </c>
      <c r="DV75" s="276">
        <f t="shared" si="35"/>
        <v>0</v>
      </c>
      <c r="DW75" s="276">
        <f t="shared" si="35"/>
        <v>0</v>
      </c>
      <c r="DX75" s="276">
        <f t="shared" si="35"/>
        <v>0</v>
      </c>
      <c r="DY75" s="276">
        <f t="shared" si="35"/>
        <v>0</v>
      </c>
      <c r="DZ75" s="276">
        <f t="shared" si="35"/>
        <v>0</v>
      </c>
      <c r="EB75" s="276">
        <f>EB27-SUM(EB28:EB32)-EB33</f>
        <v>0</v>
      </c>
      <c r="EC75" s="276">
        <f>EC27-SUM(EC28:EC32)-EC33</f>
        <v>0</v>
      </c>
      <c r="ED75" s="276">
        <f>ED27-SUM(ED28:ED32)-ED33</f>
        <v>0</v>
      </c>
      <c r="EE75" s="276">
        <f>EE27-SUM(EE28:EE32)-EE33</f>
        <v>0</v>
      </c>
      <c r="EF75" s="276">
        <f>EF27-SUM(EF28:EF32)-EF33</f>
        <v>0</v>
      </c>
    </row>
    <row r="76" spans="1:136" hidden="1" outlineLevel="1" x14ac:dyDescent="0.25">
      <c r="A76" s="277" t="s">
        <v>24</v>
      </c>
      <c r="D76" s="276">
        <f t="shared" ref="D76:J76" si="36">D33-SUM(D34:D37)-D38</f>
        <v>0</v>
      </c>
      <c r="E76" s="276">
        <f t="shared" si="36"/>
        <v>0.17354000000204906</v>
      </c>
      <c r="F76" s="276">
        <f t="shared" si="36"/>
        <v>0.17354000000159431</v>
      </c>
      <c r="G76" s="276">
        <f t="shared" si="36"/>
        <v>-0.17354000000204906</v>
      </c>
      <c r="H76" s="276">
        <f t="shared" si="36"/>
        <v>0</v>
      </c>
      <c r="I76" s="276">
        <f t="shared" si="36"/>
        <v>0</v>
      </c>
      <c r="J76" s="276">
        <f t="shared" si="36"/>
        <v>0</v>
      </c>
      <c r="L76" s="276">
        <f t="shared" ref="L76:R76" si="37">L33-SUM(L34:L37)-L38</f>
        <v>0</v>
      </c>
      <c r="M76" s="276">
        <f t="shared" si="37"/>
        <v>0</v>
      </c>
      <c r="N76" s="276">
        <f t="shared" si="37"/>
        <v>0</v>
      </c>
      <c r="O76" s="276">
        <f t="shared" si="37"/>
        <v>0</v>
      </c>
      <c r="P76" s="276">
        <f t="shared" si="37"/>
        <v>0</v>
      </c>
      <c r="Q76" s="276">
        <f t="shared" si="37"/>
        <v>0</v>
      </c>
      <c r="R76" s="276">
        <f t="shared" si="37"/>
        <v>0</v>
      </c>
      <c r="T76" s="276">
        <f t="shared" ref="T76:Z76" si="38">T33-SUM(T34:T37)-T38</f>
        <v>0</v>
      </c>
      <c r="U76" s="276">
        <f t="shared" si="38"/>
        <v>0</v>
      </c>
      <c r="V76" s="276">
        <f t="shared" si="38"/>
        <v>0</v>
      </c>
      <c r="W76" s="276">
        <f t="shared" si="38"/>
        <v>0</v>
      </c>
      <c r="X76" s="276">
        <f t="shared" si="38"/>
        <v>0</v>
      </c>
      <c r="Y76" s="276">
        <f t="shared" si="38"/>
        <v>0</v>
      </c>
      <c r="Z76" s="276">
        <f t="shared" si="38"/>
        <v>0</v>
      </c>
      <c r="AB76" s="276">
        <f t="shared" ref="AB76:AH76" si="39">AB33-SUM(AB34:AB37)-AB38</f>
        <v>0</v>
      </c>
      <c r="AC76" s="276">
        <f t="shared" si="39"/>
        <v>0</v>
      </c>
      <c r="AD76" s="276">
        <f t="shared" si="39"/>
        <v>0</v>
      </c>
      <c r="AE76" s="276">
        <f t="shared" si="39"/>
        <v>0</v>
      </c>
      <c r="AF76" s="276">
        <f t="shared" si="39"/>
        <v>0</v>
      </c>
      <c r="AG76" s="276">
        <f t="shared" si="39"/>
        <v>0</v>
      </c>
      <c r="AH76" s="276">
        <f t="shared" si="39"/>
        <v>0</v>
      </c>
      <c r="AJ76" s="276">
        <f t="shared" ref="AJ76:AP76" si="40">AJ33-SUM(AJ34:AJ37)-AJ38</f>
        <v>0</v>
      </c>
      <c r="AK76" s="276">
        <f t="shared" si="40"/>
        <v>0</v>
      </c>
      <c r="AL76" s="276">
        <f t="shared" si="40"/>
        <v>0</v>
      </c>
      <c r="AM76" s="276">
        <f t="shared" si="40"/>
        <v>0</v>
      </c>
      <c r="AN76" s="276">
        <f t="shared" si="40"/>
        <v>0</v>
      </c>
      <c r="AO76" s="276">
        <f t="shared" si="40"/>
        <v>0</v>
      </c>
      <c r="AP76" s="276">
        <f t="shared" si="40"/>
        <v>0</v>
      </c>
      <c r="AR76" s="276">
        <f t="shared" ref="AR76:AX76" si="41">AR33-SUM(AR34:AR37)-AR38</f>
        <v>0</v>
      </c>
      <c r="AS76" s="276">
        <f t="shared" si="41"/>
        <v>0</v>
      </c>
      <c r="AT76" s="276">
        <f t="shared" si="41"/>
        <v>0</v>
      </c>
      <c r="AU76" s="276">
        <f t="shared" si="41"/>
        <v>0</v>
      </c>
      <c r="AV76" s="276">
        <f t="shared" si="41"/>
        <v>0</v>
      </c>
      <c r="AW76" s="276">
        <f t="shared" si="41"/>
        <v>0</v>
      </c>
      <c r="AX76" s="276">
        <f t="shared" si="41"/>
        <v>0</v>
      </c>
      <c r="AZ76" s="276">
        <f t="shared" ref="AZ76:BF76" si="42">AZ33-SUM(AZ34:AZ37)-AZ38</f>
        <v>0</v>
      </c>
      <c r="BA76" s="276">
        <f t="shared" si="42"/>
        <v>0</v>
      </c>
      <c r="BB76" s="276">
        <f t="shared" si="42"/>
        <v>0</v>
      </c>
      <c r="BC76" s="276">
        <f t="shared" si="42"/>
        <v>0</v>
      </c>
      <c r="BD76" s="276">
        <f t="shared" si="42"/>
        <v>0</v>
      </c>
      <c r="BE76" s="276">
        <f t="shared" si="42"/>
        <v>0</v>
      </c>
      <c r="BF76" s="276">
        <f t="shared" si="42"/>
        <v>0</v>
      </c>
      <c r="BH76" s="276">
        <f t="shared" ref="BH76:BN76" si="43">BH33-SUM(BH34:BH37)-BH38</f>
        <v>0</v>
      </c>
      <c r="BI76" s="276">
        <f t="shared" si="43"/>
        <v>0</v>
      </c>
      <c r="BJ76" s="276">
        <f t="shared" si="43"/>
        <v>0</v>
      </c>
      <c r="BK76" s="276">
        <f t="shared" si="43"/>
        <v>0</v>
      </c>
      <c r="BL76" s="276">
        <f t="shared" si="43"/>
        <v>0</v>
      </c>
      <c r="BM76" s="276">
        <f t="shared" si="43"/>
        <v>0</v>
      </c>
      <c r="BN76" s="276">
        <f t="shared" si="43"/>
        <v>0</v>
      </c>
      <c r="BP76" s="276">
        <f t="shared" ref="BP76:BV76" si="44">BP33-SUM(BP34:BP37)-BP38</f>
        <v>0</v>
      </c>
      <c r="BQ76" s="276">
        <f t="shared" si="44"/>
        <v>0</v>
      </c>
      <c r="BR76" s="276">
        <f t="shared" si="44"/>
        <v>0</v>
      </c>
      <c r="BS76" s="276">
        <f t="shared" si="44"/>
        <v>0</v>
      </c>
      <c r="BT76" s="276">
        <f t="shared" si="44"/>
        <v>0</v>
      </c>
      <c r="BU76" s="276">
        <f t="shared" si="44"/>
        <v>0</v>
      </c>
      <c r="BV76" s="276">
        <f t="shared" si="44"/>
        <v>0</v>
      </c>
      <c r="BX76" s="276">
        <f t="shared" ref="BX76:CD76" si="45">BX33-SUM(BX34:BX37)-BX38</f>
        <v>0</v>
      </c>
      <c r="BY76" s="276">
        <f t="shared" si="45"/>
        <v>0</v>
      </c>
      <c r="BZ76" s="276">
        <f t="shared" si="45"/>
        <v>0</v>
      </c>
      <c r="CA76" s="276">
        <f t="shared" si="45"/>
        <v>0</v>
      </c>
      <c r="CB76" s="276">
        <f t="shared" si="45"/>
        <v>0</v>
      </c>
      <c r="CC76" s="276">
        <f t="shared" si="45"/>
        <v>0</v>
      </c>
      <c r="CD76" s="276">
        <f t="shared" si="45"/>
        <v>0</v>
      </c>
      <c r="CF76" s="276">
        <f t="shared" ref="CF76:CL76" si="46">CF33-SUM(CF34:CF37)-CF38</f>
        <v>0</v>
      </c>
      <c r="CG76" s="276">
        <f t="shared" si="46"/>
        <v>0</v>
      </c>
      <c r="CH76" s="276">
        <f t="shared" si="46"/>
        <v>0</v>
      </c>
      <c r="CI76" s="276">
        <f t="shared" si="46"/>
        <v>0</v>
      </c>
      <c r="CJ76" s="276">
        <f t="shared" si="46"/>
        <v>0</v>
      </c>
      <c r="CK76" s="276">
        <f t="shared" si="46"/>
        <v>0</v>
      </c>
      <c r="CL76" s="276">
        <f t="shared" si="46"/>
        <v>0</v>
      </c>
      <c r="CN76" s="276">
        <f t="shared" ref="CN76:CT76" si="47">CN33-SUM(CN34:CN37)-CN38</f>
        <v>0</v>
      </c>
      <c r="CO76" s="276">
        <f t="shared" si="47"/>
        <v>0</v>
      </c>
      <c r="CP76" s="276">
        <f t="shared" si="47"/>
        <v>0</v>
      </c>
      <c r="CQ76" s="276">
        <f t="shared" si="47"/>
        <v>0</v>
      </c>
      <c r="CR76" s="276">
        <f t="shared" si="47"/>
        <v>0</v>
      </c>
      <c r="CS76" s="276">
        <f t="shared" si="47"/>
        <v>0</v>
      </c>
      <c r="CT76" s="276">
        <f t="shared" si="47"/>
        <v>0</v>
      </c>
      <c r="CV76" s="276">
        <f t="shared" ref="CV76:DB76" si="48">CV33-SUM(CV34:CV37)-CV38</f>
        <v>0</v>
      </c>
      <c r="CW76" s="276">
        <f t="shared" si="48"/>
        <v>0</v>
      </c>
      <c r="CX76" s="276">
        <f t="shared" si="48"/>
        <v>0</v>
      </c>
      <c r="CY76" s="276">
        <f t="shared" si="48"/>
        <v>0</v>
      </c>
      <c r="CZ76" s="276">
        <f t="shared" si="48"/>
        <v>0</v>
      </c>
      <c r="DA76" s="276">
        <f t="shared" si="48"/>
        <v>0</v>
      </c>
      <c r="DB76" s="276">
        <f t="shared" si="48"/>
        <v>0</v>
      </c>
      <c r="DD76" s="276">
        <f t="shared" ref="DD76:DJ76" si="49">DD33-SUM(DD34:DD37)-DD38</f>
        <v>0</v>
      </c>
      <c r="DE76" s="276">
        <f t="shared" si="49"/>
        <v>0</v>
      </c>
      <c r="DF76" s="276">
        <f t="shared" si="49"/>
        <v>0</v>
      </c>
      <c r="DG76" s="276">
        <f t="shared" si="49"/>
        <v>0</v>
      </c>
      <c r="DH76" s="276">
        <f t="shared" si="49"/>
        <v>0</v>
      </c>
      <c r="DI76" s="276">
        <f t="shared" si="49"/>
        <v>0</v>
      </c>
      <c r="DJ76" s="276">
        <f t="shared" si="49"/>
        <v>0</v>
      </c>
      <c r="DL76" s="276">
        <f t="shared" ref="DL76:DR76" si="50">DL33-SUM(DL34:DL37)-DL38</f>
        <v>0</v>
      </c>
      <c r="DM76" s="276">
        <f t="shared" si="50"/>
        <v>0</v>
      </c>
      <c r="DN76" s="276">
        <f t="shared" si="50"/>
        <v>0</v>
      </c>
      <c r="DO76" s="276">
        <f t="shared" si="50"/>
        <v>0</v>
      </c>
      <c r="DP76" s="276">
        <f t="shared" si="50"/>
        <v>0</v>
      </c>
      <c r="DQ76" s="276">
        <f t="shared" si="50"/>
        <v>0</v>
      </c>
      <c r="DR76" s="276">
        <f t="shared" si="50"/>
        <v>0</v>
      </c>
      <c r="DT76" s="276">
        <f t="shared" ref="DT76:DZ76" si="51">DT33-SUM(DT34:DT37)-DT38</f>
        <v>0</v>
      </c>
      <c r="DU76" s="276">
        <f t="shared" si="51"/>
        <v>0</v>
      </c>
      <c r="DV76" s="276">
        <f t="shared" si="51"/>
        <v>0</v>
      </c>
      <c r="DW76" s="276">
        <f t="shared" si="51"/>
        <v>0</v>
      </c>
      <c r="DX76" s="276">
        <f t="shared" si="51"/>
        <v>0</v>
      </c>
      <c r="DY76" s="276">
        <f t="shared" si="51"/>
        <v>0</v>
      </c>
      <c r="DZ76" s="276">
        <f t="shared" si="51"/>
        <v>0</v>
      </c>
      <c r="EB76" s="276">
        <f>EB33-SUM(EB34:EB37)-EB38</f>
        <v>0</v>
      </c>
      <c r="EC76" s="276">
        <f>EC33-SUM(EC34:EC37)-EC38</f>
        <v>0</v>
      </c>
      <c r="ED76" s="276">
        <f>ED33-SUM(ED34:ED37)-ED38</f>
        <v>0</v>
      </c>
      <c r="EE76" s="276">
        <f>EE33-SUM(EE34:EE37)-EE38</f>
        <v>0</v>
      </c>
      <c r="EF76" s="276">
        <f>EF33-SUM(EF34:EF37)-EF38</f>
        <v>0</v>
      </c>
    </row>
    <row r="77" spans="1:136" hidden="1" outlineLevel="1" x14ac:dyDescent="0.25">
      <c r="A77" s="277" t="s">
        <v>57</v>
      </c>
      <c r="D77" s="276">
        <f t="shared" ref="D77:J77" si="52">SUM(D38:D44)-D45</f>
        <v>0</v>
      </c>
      <c r="E77" s="276">
        <f t="shared" si="52"/>
        <v>5.1589999999123393E-2</v>
      </c>
      <c r="F77" s="276">
        <f t="shared" si="52"/>
        <v>5.1590000000942382E-2</v>
      </c>
      <c r="G77" s="276">
        <f t="shared" si="52"/>
        <v>-5.1590000000032887E-2</v>
      </c>
      <c r="H77" s="276">
        <f t="shared" si="52"/>
        <v>0</v>
      </c>
      <c r="I77" s="276">
        <f t="shared" si="52"/>
        <v>0</v>
      </c>
      <c r="J77" s="276">
        <f t="shared" si="52"/>
        <v>0</v>
      </c>
      <c r="L77" s="276">
        <f t="shared" ref="L77:R77" si="53">SUM(L38:L44)-L45</f>
        <v>0</v>
      </c>
      <c r="M77" s="276">
        <f t="shared" si="53"/>
        <v>0</v>
      </c>
      <c r="N77" s="276">
        <f t="shared" si="53"/>
        <v>0</v>
      </c>
      <c r="O77" s="276">
        <f t="shared" si="53"/>
        <v>0</v>
      </c>
      <c r="P77" s="276">
        <f t="shared" si="53"/>
        <v>0</v>
      </c>
      <c r="Q77" s="276">
        <f t="shared" si="53"/>
        <v>0</v>
      </c>
      <c r="R77" s="276">
        <f t="shared" si="53"/>
        <v>0</v>
      </c>
      <c r="T77" s="276">
        <f t="shared" ref="T77:Z77" si="54">SUM(T38:T44)-T45</f>
        <v>0</v>
      </c>
      <c r="U77" s="276">
        <f t="shared" si="54"/>
        <v>0</v>
      </c>
      <c r="V77" s="276">
        <f t="shared" si="54"/>
        <v>0</v>
      </c>
      <c r="W77" s="276">
        <f t="shared" si="54"/>
        <v>0</v>
      </c>
      <c r="X77" s="276">
        <f t="shared" si="54"/>
        <v>0</v>
      </c>
      <c r="Y77" s="276">
        <f t="shared" si="54"/>
        <v>0</v>
      </c>
      <c r="Z77" s="276">
        <f t="shared" si="54"/>
        <v>0</v>
      </c>
      <c r="AB77" s="276">
        <f t="shared" ref="AB77:AH77" si="55">SUM(AB38:AB44)-AB45</f>
        <v>0</v>
      </c>
      <c r="AC77" s="276">
        <f t="shared" si="55"/>
        <v>0</v>
      </c>
      <c r="AD77" s="276">
        <f t="shared" si="55"/>
        <v>0</v>
      </c>
      <c r="AE77" s="276">
        <f t="shared" si="55"/>
        <v>0</v>
      </c>
      <c r="AF77" s="276">
        <f t="shared" si="55"/>
        <v>0</v>
      </c>
      <c r="AG77" s="276">
        <f t="shared" si="55"/>
        <v>0</v>
      </c>
      <c r="AH77" s="276">
        <f t="shared" si="55"/>
        <v>0</v>
      </c>
      <c r="AJ77" s="276">
        <f t="shared" ref="AJ77:AP77" si="56">SUM(AJ38:AJ44)-AJ45</f>
        <v>0</v>
      </c>
      <c r="AK77" s="276">
        <f t="shared" si="56"/>
        <v>0</v>
      </c>
      <c r="AL77" s="276">
        <f t="shared" si="56"/>
        <v>0</v>
      </c>
      <c r="AM77" s="276">
        <f t="shared" si="56"/>
        <v>0</v>
      </c>
      <c r="AN77" s="276">
        <f t="shared" si="56"/>
        <v>0</v>
      </c>
      <c r="AO77" s="276">
        <f t="shared" si="56"/>
        <v>0</v>
      </c>
      <c r="AP77" s="276">
        <f t="shared" si="56"/>
        <v>0</v>
      </c>
      <c r="AR77" s="276">
        <f t="shared" ref="AR77:AX77" si="57">SUM(AR38:AR44)-AR45</f>
        <v>0</v>
      </c>
      <c r="AS77" s="276">
        <f t="shared" si="57"/>
        <v>0</v>
      </c>
      <c r="AT77" s="276">
        <f t="shared" si="57"/>
        <v>0</v>
      </c>
      <c r="AU77" s="276">
        <f t="shared" si="57"/>
        <v>0</v>
      </c>
      <c r="AV77" s="276">
        <f t="shared" si="57"/>
        <v>0</v>
      </c>
      <c r="AW77" s="276">
        <f t="shared" si="57"/>
        <v>0</v>
      </c>
      <c r="AX77" s="276">
        <f t="shared" si="57"/>
        <v>0</v>
      </c>
      <c r="AZ77" s="276">
        <f t="shared" ref="AZ77:BF77" si="58">SUM(AZ38:AZ44)-AZ45</f>
        <v>0</v>
      </c>
      <c r="BA77" s="276">
        <f t="shared" si="58"/>
        <v>0</v>
      </c>
      <c r="BB77" s="276">
        <f t="shared" si="58"/>
        <v>0</v>
      </c>
      <c r="BC77" s="276">
        <f t="shared" si="58"/>
        <v>0</v>
      </c>
      <c r="BD77" s="276">
        <f t="shared" si="58"/>
        <v>0</v>
      </c>
      <c r="BE77" s="276">
        <f t="shared" si="58"/>
        <v>0</v>
      </c>
      <c r="BF77" s="276">
        <f t="shared" si="58"/>
        <v>0</v>
      </c>
      <c r="BH77" s="276">
        <f t="shared" ref="BH77:BN77" si="59">SUM(BH38:BH44)-BH45</f>
        <v>0</v>
      </c>
      <c r="BI77" s="276">
        <f t="shared" si="59"/>
        <v>0</v>
      </c>
      <c r="BJ77" s="276">
        <f t="shared" si="59"/>
        <v>0</v>
      </c>
      <c r="BK77" s="276">
        <f t="shared" si="59"/>
        <v>0</v>
      </c>
      <c r="BL77" s="276">
        <f t="shared" si="59"/>
        <v>0</v>
      </c>
      <c r="BM77" s="276">
        <f t="shared" si="59"/>
        <v>0</v>
      </c>
      <c r="BN77" s="276">
        <f t="shared" si="59"/>
        <v>0</v>
      </c>
      <c r="BP77" s="276">
        <f t="shared" ref="BP77:BV77" si="60">SUM(BP38:BP44)-BP45</f>
        <v>0</v>
      </c>
      <c r="BQ77" s="276">
        <f t="shared" si="60"/>
        <v>0</v>
      </c>
      <c r="BR77" s="276">
        <f t="shared" si="60"/>
        <v>0</v>
      </c>
      <c r="BS77" s="276">
        <f t="shared" si="60"/>
        <v>0</v>
      </c>
      <c r="BT77" s="276">
        <f t="shared" si="60"/>
        <v>0</v>
      </c>
      <c r="BU77" s="276">
        <f t="shared" si="60"/>
        <v>0</v>
      </c>
      <c r="BV77" s="276">
        <f t="shared" si="60"/>
        <v>0</v>
      </c>
      <c r="BX77" s="276">
        <f t="shared" ref="BX77:CD77" si="61">SUM(BX38:BX44)-BX45</f>
        <v>0</v>
      </c>
      <c r="BY77" s="276">
        <f t="shared" si="61"/>
        <v>0</v>
      </c>
      <c r="BZ77" s="276">
        <f t="shared" si="61"/>
        <v>0</v>
      </c>
      <c r="CA77" s="276">
        <f t="shared" si="61"/>
        <v>0</v>
      </c>
      <c r="CB77" s="276">
        <f t="shared" si="61"/>
        <v>0</v>
      </c>
      <c r="CC77" s="276">
        <f t="shared" si="61"/>
        <v>0</v>
      </c>
      <c r="CD77" s="276">
        <f t="shared" si="61"/>
        <v>0</v>
      </c>
      <c r="CF77" s="276">
        <f t="shared" ref="CF77:CL77" si="62">SUM(CF38:CF44)-CF45</f>
        <v>0</v>
      </c>
      <c r="CG77" s="276">
        <f t="shared" si="62"/>
        <v>0</v>
      </c>
      <c r="CH77" s="276">
        <f t="shared" si="62"/>
        <v>0</v>
      </c>
      <c r="CI77" s="276">
        <f t="shared" si="62"/>
        <v>0</v>
      </c>
      <c r="CJ77" s="276">
        <f t="shared" si="62"/>
        <v>0</v>
      </c>
      <c r="CK77" s="276">
        <f t="shared" si="62"/>
        <v>0</v>
      </c>
      <c r="CL77" s="276">
        <f t="shared" si="62"/>
        <v>0</v>
      </c>
      <c r="CN77" s="276">
        <f t="shared" ref="CN77:CT77" si="63">SUM(CN38:CN44)-CN45</f>
        <v>0</v>
      </c>
      <c r="CO77" s="276">
        <f t="shared" si="63"/>
        <v>0</v>
      </c>
      <c r="CP77" s="276">
        <f t="shared" si="63"/>
        <v>0</v>
      </c>
      <c r="CQ77" s="276">
        <f t="shared" si="63"/>
        <v>0</v>
      </c>
      <c r="CR77" s="276">
        <f t="shared" si="63"/>
        <v>0</v>
      </c>
      <c r="CS77" s="276">
        <f t="shared" si="63"/>
        <v>0</v>
      </c>
      <c r="CT77" s="276">
        <f t="shared" si="63"/>
        <v>0</v>
      </c>
      <c r="CV77" s="276">
        <f t="shared" ref="CV77:DB77" si="64">SUM(CV38:CV44)-CV45</f>
        <v>0</v>
      </c>
      <c r="CW77" s="276">
        <f t="shared" si="64"/>
        <v>0</v>
      </c>
      <c r="CX77" s="276">
        <f t="shared" si="64"/>
        <v>0</v>
      </c>
      <c r="CY77" s="276">
        <f t="shared" si="64"/>
        <v>0</v>
      </c>
      <c r="CZ77" s="276">
        <f t="shared" si="64"/>
        <v>0</v>
      </c>
      <c r="DA77" s="276">
        <f t="shared" si="64"/>
        <v>0</v>
      </c>
      <c r="DB77" s="276">
        <f t="shared" si="64"/>
        <v>0</v>
      </c>
      <c r="DD77" s="276">
        <f t="shared" ref="DD77:DJ77" si="65">SUM(DD38:DD44)-DD45</f>
        <v>0</v>
      </c>
      <c r="DE77" s="276">
        <f t="shared" si="65"/>
        <v>0</v>
      </c>
      <c r="DF77" s="276">
        <f t="shared" si="65"/>
        <v>0</v>
      </c>
      <c r="DG77" s="276">
        <f t="shared" si="65"/>
        <v>0</v>
      </c>
      <c r="DH77" s="276">
        <f t="shared" si="65"/>
        <v>0</v>
      </c>
      <c r="DI77" s="276">
        <f t="shared" si="65"/>
        <v>0</v>
      </c>
      <c r="DJ77" s="276">
        <f t="shared" si="65"/>
        <v>0</v>
      </c>
      <c r="DL77" s="276">
        <f t="shared" ref="DL77:DR77" si="66">SUM(DL38:DL44)-DL45</f>
        <v>0</v>
      </c>
      <c r="DM77" s="276">
        <f t="shared" si="66"/>
        <v>0</v>
      </c>
      <c r="DN77" s="276">
        <f t="shared" si="66"/>
        <v>0</v>
      </c>
      <c r="DO77" s="276">
        <f t="shared" si="66"/>
        <v>0</v>
      </c>
      <c r="DP77" s="276">
        <f t="shared" si="66"/>
        <v>0</v>
      </c>
      <c r="DQ77" s="276">
        <f t="shared" si="66"/>
        <v>0</v>
      </c>
      <c r="DR77" s="276">
        <f t="shared" si="66"/>
        <v>0</v>
      </c>
      <c r="DT77" s="276">
        <f t="shared" ref="DT77:DZ77" si="67">SUM(DT38:DT44)-DT45</f>
        <v>0</v>
      </c>
      <c r="DU77" s="276">
        <f t="shared" si="67"/>
        <v>0</v>
      </c>
      <c r="DV77" s="276">
        <f t="shared" si="67"/>
        <v>0</v>
      </c>
      <c r="DW77" s="276">
        <f t="shared" si="67"/>
        <v>0</v>
      </c>
      <c r="DX77" s="276">
        <f t="shared" si="67"/>
        <v>0</v>
      </c>
      <c r="DY77" s="276">
        <f t="shared" si="67"/>
        <v>0</v>
      </c>
      <c r="DZ77" s="276">
        <f t="shared" si="67"/>
        <v>0</v>
      </c>
      <c r="EB77" s="276">
        <f>SUM(EB38:EB44)-EB45</f>
        <v>0</v>
      </c>
      <c r="EC77" s="276">
        <f>SUM(EC38:EC44)-EC45</f>
        <v>0</v>
      </c>
      <c r="ED77" s="276">
        <f>SUM(ED38:ED44)-ED45</f>
        <v>0</v>
      </c>
      <c r="EE77" s="276">
        <f>SUM(EE38:EE44)-EE45</f>
        <v>0</v>
      </c>
      <c r="EF77" s="276">
        <f>SUM(EF38:EF44)-EF45</f>
        <v>0</v>
      </c>
    </row>
    <row r="78" spans="1:136" hidden="1" outlineLevel="1" x14ac:dyDescent="0.25">
      <c r="A78" s="277" t="s">
        <v>147</v>
      </c>
      <c r="D78" s="276">
        <f t="shared" ref="D78:J78" si="68">SUM(D45:D54)-D55</f>
        <v>0</v>
      </c>
      <c r="E78" s="276">
        <f t="shared" si="68"/>
        <v>0</v>
      </c>
      <c r="F78" s="276">
        <f t="shared" si="68"/>
        <v>0</v>
      </c>
      <c r="G78" s="276">
        <f t="shared" si="68"/>
        <v>0.12199999999938882</v>
      </c>
      <c r="H78" s="276">
        <f t="shared" si="68"/>
        <v>0.12199999999938882</v>
      </c>
      <c r="I78" s="276">
        <f t="shared" si="68"/>
        <v>-0.24399999999877764</v>
      </c>
      <c r="J78" s="276">
        <f t="shared" si="68"/>
        <v>-0.12199999999938882</v>
      </c>
      <c r="L78" s="276">
        <f t="shared" ref="L78:R78" si="69">SUM(L45:L54)-L55</f>
        <v>0</v>
      </c>
      <c r="M78" s="276">
        <f t="shared" si="69"/>
        <v>0</v>
      </c>
      <c r="N78" s="276">
        <f t="shared" si="69"/>
        <v>0</v>
      </c>
      <c r="O78" s="276">
        <f t="shared" si="69"/>
        <v>0</v>
      </c>
      <c r="P78" s="276">
        <f t="shared" si="69"/>
        <v>0</v>
      </c>
      <c r="Q78" s="276">
        <f t="shared" si="69"/>
        <v>0</v>
      </c>
      <c r="R78" s="276">
        <f t="shared" si="69"/>
        <v>0</v>
      </c>
      <c r="T78" s="276">
        <f t="shared" ref="T78:Z78" si="70">SUM(T45:T54)-T55</f>
        <v>0</v>
      </c>
      <c r="U78" s="276">
        <f t="shared" si="70"/>
        <v>0</v>
      </c>
      <c r="V78" s="276">
        <f t="shared" si="70"/>
        <v>0</v>
      </c>
      <c r="W78" s="276">
        <f t="shared" si="70"/>
        <v>0</v>
      </c>
      <c r="X78" s="276">
        <f t="shared" si="70"/>
        <v>0</v>
      </c>
      <c r="Y78" s="276">
        <f t="shared" si="70"/>
        <v>0</v>
      </c>
      <c r="Z78" s="276">
        <f t="shared" si="70"/>
        <v>0</v>
      </c>
      <c r="AB78" s="276">
        <f t="shared" ref="AB78:AH78" si="71">SUM(AB45:AB54)-AB55</f>
        <v>0</v>
      </c>
      <c r="AC78" s="276">
        <f t="shared" si="71"/>
        <v>0</v>
      </c>
      <c r="AD78" s="276">
        <f t="shared" si="71"/>
        <v>0</v>
      </c>
      <c r="AE78" s="276">
        <f t="shared" si="71"/>
        <v>0</v>
      </c>
      <c r="AF78" s="276">
        <f t="shared" si="71"/>
        <v>0</v>
      </c>
      <c r="AG78" s="276">
        <f t="shared" si="71"/>
        <v>0</v>
      </c>
      <c r="AH78" s="276">
        <f t="shared" si="71"/>
        <v>0</v>
      </c>
      <c r="AJ78" s="276">
        <f t="shared" ref="AJ78:AP78" si="72">SUM(AJ45:AJ54)-AJ55</f>
        <v>0</v>
      </c>
      <c r="AK78" s="276">
        <f t="shared" si="72"/>
        <v>0</v>
      </c>
      <c r="AL78" s="276">
        <f t="shared" si="72"/>
        <v>0</v>
      </c>
      <c r="AM78" s="276">
        <f t="shared" si="72"/>
        <v>0</v>
      </c>
      <c r="AN78" s="276">
        <f t="shared" si="72"/>
        <v>0</v>
      </c>
      <c r="AO78" s="276">
        <f t="shared" si="72"/>
        <v>0</v>
      </c>
      <c r="AP78" s="276">
        <f t="shared" si="72"/>
        <v>0</v>
      </c>
      <c r="AR78" s="276">
        <f t="shared" ref="AR78:AX78" si="73">SUM(AR45:AR54)-AR55</f>
        <v>0</v>
      </c>
      <c r="AS78" s="276">
        <f t="shared" si="73"/>
        <v>0</v>
      </c>
      <c r="AT78" s="276">
        <f t="shared" si="73"/>
        <v>0</v>
      </c>
      <c r="AU78" s="276">
        <f t="shared" si="73"/>
        <v>0</v>
      </c>
      <c r="AV78" s="276">
        <f t="shared" si="73"/>
        <v>0</v>
      </c>
      <c r="AW78" s="276">
        <f t="shared" si="73"/>
        <v>0</v>
      </c>
      <c r="AX78" s="276">
        <f t="shared" si="73"/>
        <v>0</v>
      </c>
      <c r="AZ78" s="276">
        <f t="shared" ref="AZ78:BF78" si="74">SUM(AZ45:AZ54)-AZ55</f>
        <v>0</v>
      </c>
      <c r="BA78" s="276">
        <f t="shared" si="74"/>
        <v>0</v>
      </c>
      <c r="BB78" s="276">
        <f t="shared" si="74"/>
        <v>0</v>
      </c>
      <c r="BC78" s="276">
        <f t="shared" si="74"/>
        <v>0</v>
      </c>
      <c r="BD78" s="276">
        <f t="shared" si="74"/>
        <v>0</v>
      </c>
      <c r="BE78" s="276">
        <f t="shared" si="74"/>
        <v>0</v>
      </c>
      <c r="BF78" s="276">
        <f t="shared" si="74"/>
        <v>0</v>
      </c>
      <c r="BH78" s="276">
        <f t="shared" ref="BH78:BN78" si="75">SUM(BH45:BH54)-BH55</f>
        <v>0</v>
      </c>
      <c r="BI78" s="276">
        <f t="shared" si="75"/>
        <v>0</v>
      </c>
      <c r="BJ78" s="276">
        <f t="shared" si="75"/>
        <v>0</v>
      </c>
      <c r="BK78" s="276">
        <f t="shared" si="75"/>
        <v>0</v>
      </c>
      <c r="BL78" s="276">
        <f t="shared" si="75"/>
        <v>0</v>
      </c>
      <c r="BM78" s="276">
        <f t="shared" si="75"/>
        <v>0</v>
      </c>
      <c r="BN78" s="276">
        <f t="shared" si="75"/>
        <v>0</v>
      </c>
      <c r="BP78" s="276">
        <f t="shared" ref="BP78:BV78" si="76">SUM(BP45:BP54)-BP55</f>
        <v>0</v>
      </c>
      <c r="BQ78" s="276">
        <f t="shared" si="76"/>
        <v>0</v>
      </c>
      <c r="BR78" s="276">
        <f t="shared" si="76"/>
        <v>0</v>
      </c>
      <c r="BS78" s="276">
        <f t="shared" si="76"/>
        <v>0</v>
      </c>
      <c r="BT78" s="276">
        <f t="shared" si="76"/>
        <v>0</v>
      </c>
      <c r="BU78" s="276">
        <f t="shared" si="76"/>
        <v>0</v>
      </c>
      <c r="BV78" s="276">
        <f t="shared" si="76"/>
        <v>0</v>
      </c>
      <c r="BX78" s="276">
        <f t="shared" ref="BX78:CD78" si="77">SUM(BX45:BX54)-BX55</f>
        <v>0</v>
      </c>
      <c r="BY78" s="276">
        <f t="shared" si="77"/>
        <v>0</v>
      </c>
      <c r="BZ78" s="276">
        <f t="shared" si="77"/>
        <v>0</v>
      </c>
      <c r="CA78" s="276">
        <f t="shared" si="77"/>
        <v>0</v>
      </c>
      <c r="CB78" s="276">
        <f t="shared" si="77"/>
        <v>0</v>
      </c>
      <c r="CC78" s="276">
        <f t="shared" si="77"/>
        <v>0</v>
      </c>
      <c r="CD78" s="276">
        <f t="shared" si="77"/>
        <v>0</v>
      </c>
      <c r="CF78" s="276">
        <f t="shared" ref="CF78:CL78" si="78">SUM(CF45:CF54)-CF55</f>
        <v>0</v>
      </c>
      <c r="CG78" s="276">
        <f t="shared" si="78"/>
        <v>0</v>
      </c>
      <c r="CH78" s="276">
        <f t="shared" si="78"/>
        <v>0</v>
      </c>
      <c r="CI78" s="276">
        <f t="shared" si="78"/>
        <v>0</v>
      </c>
      <c r="CJ78" s="276">
        <f t="shared" si="78"/>
        <v>0</v>
      </c>
      <c r="CK78" s="276">
        <f t="shared" si="78"/>
        <v>0</v>
      </c>
      <c r="CL78" s="276">
        <f t="shared" si="78"/>
        <v>0</v>
      </c>
      <c r="CN78" s="276">
        <f t="shared" ref="CN78:CT78" si="79">SUM(CN45:CN54)-CN55</f>
        <v>0</v>
      </c>
      <c r="CO78" s="276">
        <f t="shared" si="79"/>
        <v>0</v>
      </c>
      <c r="CP78" s="276">
        <f t="shared" si="79"/>
        <v>0</v>
      </c>
      <c r="CQ78" s="276">
        <f t="shared" si="79"/>
        <v>0</v>
      </c>
      <c r="CR78" s="276">
        <f t="shared" si="79"/>
        <v>0</v>
      </c>
      <c r="CS78" s="276">
        <f t="shared" si="79"/>
        <v>0</v>
      </c>
      <c r="CT78" s="276">
        <f t="shared" si="79"/>
        <v>0</v>
      </c>
      <c r="CV78" s="276">
        <f t="shared" ref="CV78:DB78" si="80">SUM(CV45:CV54)-CV55</f>
        <v>0</v>
      </c>
      <c r="CW78" s="276">
        <f t="shared" si="80"/>
        <v>0</v>
      </c>
      <c r="CX78" s="276">
        <f t="shared" si="80"/>
        <v>0</v>
      </c>
      <c r="CY78" s="276">
        <f t="shared" si="80"/>
        <v>0</v>
      </c>
      <c r="CZ78" s="276">
        <f t="shared" si="80"/>
        <v>0</v>
      </c>
      <c r="DA78" s="276">
        <f t="shared" si="80"/>
        <v>0</v>
      </c>
      <c r="DB78" s="276">
        <f t="shared" si="80"/>
        <v>0</v>
      </c>
      <c r="DD78" s="276">
        <f t="shared" ref="DD78:DJ78" si="81">SUM(DD45:DD54)-DD55</f>
        <v>0</v>
      </c>
      <c r="DE78" s="276">
        <f t="shared" si="81"/>
        <v>0</v>
      </c>
      <c r="DF78" s="276">
        <f t="shared" si="81"/>
        <v>0</v>
      </c>
      <c r="DG78" s="276">
        <f t="shared" si="81"/>
        <v>0</v>
      </c>
      <c r="DH78" s="276">
        <f t="shared" si="81"/>
        <v>0</v>
      </c>
      <c r="DI78" s="276">
        <f t="shared" si="81"/>
        <v>0</v>
      </c>
      <c r="DJ78" s="276">
        <f t="shared" si="81"/>
        <v>0</v>
      </c>
      <c r="DL78" s="276">
        <f t="shared" ref="DL78:DR78" si="82">SUM(DL45:DL54)-DL55</f>
        <v>0</v>
      </c>
      <c r="DM78" s="276">
        <f t="shared" si="82"/>
        <v>0</v>
      </c>
      <c r="DN78" s="276">
        <f t="shared" si="82"/>
        <v>0</v>
      </c>
      <c r="DO78" s="276">
        <f t="shared" si="82"/>
        <v>0</v>
      </c>
      <c r="DP78" s="276">
        <f t="shared" si="82"/>
        <v>0</v>
      </c>
      <c r="DQ78" s="276">
        <f t="shared" si="82"/>
        <v>0</v>
      </c>
      <c r="DR78" s="276">
        <f t="shared" si="82"/>
        <v>0</v>
      </c>
      <c r="DT78" s="276">
        <f t="shared" ref="DT78:DZ78" si="83">SUM(DT45:DT54)-DT55</f>
        <v>0</v>
      </c>
      <c r="DU78" s="276">
        <f t="shared" si="83"/>
        <v>0</v>
      </c>
      <c r="DV78" s="276">
        <f t="shared" si="83"/>
        <v>0</v>
      </c>
      <c r="DW78" s="276">
        <f t="shared" si="83"/>
        <v>0</v>
      </c>
      <c r="DX78" s="276">
        <f t="shared" si="83"/>
        <v>0</v>
      </c>
      <c r="DY78" s="276">
        <f t="shared" si="83"/>
        <v>0</v>
      </c>
      <c r="DZ78" s="276">
        <f t="shared" si="83"/>
        <v>0</v>
      </c>
      <c r="EB78" s="276">
        <f>SUM(EB45:EB54)-EB55</f>
        <v>0</v>
      </c>
      <c r="EC78" s="276">
        <f>SUM(EC45:EC54)-EC55</f>
        <v>0</v>
      </c>
      <c r="ED78" s="276">
        <f>SUM(ED45:ED54)-ED55</f>
        <v>0</v>
      </c>
      <c r="EE78" s="276">
        <f>SUM(EE45:EE54)-EE55</f>
        <v>0</v>
      </c>
      <c r="EF78" s="276">
        <f>SUM(EF45:EF54)-EF55</f>
        <v>0</v>
      </c>
    </row>
    <row r="79" spans="1:136" hidden="1" outlineLevel="1" x14ac:dyDescent="0.25">
      <c r="A79" s="277" t="s">
        <v>39</v>
      </c>
      <c r="D79" s="276">
        <f t="shared" ref="D79:E79" si="84">SUM(D60:D61)-D62</f>
        <v>0</v>
      </c>
      <c r="E79" s="276">
        <f t="shared" si="84"/>
        <v>0</v>
      </c>
      <c r="F79" s="276">
        <f t="shared" ref="F79:G79" si="85">SUM(F60:F61)-F62</f>
        <v>0</v>
      </c>
      <c r="G79" s="276">
        <f t="shared" si="85"/>
        <v>0</v>
      </c>
      <c r="H79" s="276">
        <f t="shared" ref="H79:I79" si="86">SUM(H60:H61)-H62</f>
        <v>0</v>
      </c>
      <c r="I79" s="276">
        <f t="shared" si="86"/>
        <v>0</v>
      </c>
      <c r="J79" s="276">
        <f t="shared" ref="J79" si="87">SUM(J60:J61)-J62</f>
        <v>0</v>
      </c>
      <c r="L79" s="276">
        <f t="shared" ref="L79:R79" si="88">SUM(L60:L61)-L62</f>
        <v>0</v>
      </c>
      <c r="M79" s="276">
        <f t="shared" si="88"/>
        <v>0</v>
      </c>
      <c r="N79" s="276">
        <f t="shared" si="88"/>
        <v>0</v>
      </c>
      <c r="O79" s="276">
        <f t="shared" si="88"/>
        <v>0</v>
      </c>
      <c r="P79" s="276">
        <f t="shared" si="88"/>
        <v>0</v>
      </c>
      <c r="Q79" s="276">
        <f t="shared" si="88"/>
        <v>0</v>
      </c>
      <c r="R79" s="276">
        <f t="shared" si="88"/>
        <v>0</v>
      </c>
      <c r="T79" s="276">
        <f t="shared" ref="T79:Z79" si="89">SUM(T60:T61)-T62</f>
        <v>0</v>
      </c>
      <c r="U79" s="276">
        <f t="shared" si="89"/>
        <v>0</v>
      </c>
      <c r="V79" s="276">
        <f t="shared" si="89"/>
        <v>0</v>
      </c>
      <c r="W79" s="276">
        <f t="shared" si="89"/>
        <v>0</v>
      </c>
      <c r="X79" s="276">
        <f t="shared" si="89"/>
        <v>0</v>
      </c>
      <c r="Y79" s="276">
        <f t="shared" si="89"/>
        <v>0</v>
      </c>
      <c r="Z79" s="276">
        <f t="shared" si="89"/>
        <v>0</v>
      </c>
      <c r="AB79" s="276">
        <f t="shared" ref="AB79:AH79" si="90">SUM(AB60:AB61)-AB62</f>
        <v>0</v>
      </c>
      <c r="AC79" s="276">
        <f t="shared" si="90"/>
        <v>0</v>
      </c>
      <c r="AD79" s="276">
        <f t="shared" si="90"/>
        <v>0</v>
      </c>
      <c r="AE79" s="276">
        <f t="shared" si="90"/>
        <v>0</v>
      </c>
      <c r="AF79" s="276">
        <f t="shared" si="90"/>
        <v>0</v>
      </c>
      <c r="AG79" s="276">
        <f t="shared" si="90"/>
        <v>0</v>
      </c>
      <c r="AH79" s="276">
        <f t="shared" si="90"/>
        <v>0</v>
      </c>
      <c r="AJ79" s="276">
        <f t="shared" ref="AJ79:AP79" si="91">SUM(AJ60:AJ61)-AJ62</f>
        <v>0</v>
      </c>
      <c r="AK79" s="276">
        <f t="shared" si="91"/>
        <v>0</v>
      </c>
      <c r="AL79" s="276">
        <f t="shared" si="91"/>
        <v>0</v>
      </c>
      <c r="AM79" s="276">
        <f t="shared" si="91"/>
        <v>0</v>
      </c>
      <c r="AN79" s="276">
        <f t="shared" si="91"/>
        <v>0</v>
      </c>
      <c r="AO79" s="276">
        <f t="shared" si="91"/>
        <v>0</v>
      </c>
      <c r="AP79" s="276">
        <f t="shared" si="91"/>
        <v>0</v>
      </c>
      <c r="AR79" s="276">
        <f t="shared" ref="AR79:AX79" si="92">SUM(AR60:AR61)-AR62</f>
        <v>0</v>
      </c>
      <c r="AS79" s="276">
        <f t="shared" si="92"/>
        <v>0</v>
      </c>
      <c r="AT79" s="276">
        <f t="shared" si="92"/>
        <v>0</v>
      </c>
      <c r="AU79" s="276">
        <f t="shared" si="92"/>
        <v>0</v>
      </c>
      <c r="AV79" s="276">
        <f t="shared" si="92"/>
        <v>0</v>
      </c>
      <c r="AW79" s="276">
        <f t="shared" si="92"/>
        <v>0</v>
      </c>
      <c r="AX79" s="276">
        <f t="shared" si="92"/>
        <v>0</v>
      </c>
      <c r="AZ79" s="276">
        <f t="shared" ref="AZ79:BF79" si="93">SUM(AZ60:AZ61)-AZ62</f>
        <v>0</v>
      </c>
      <c r="BA79" s="276">
        <f t="shared" si="93"/>
        <v>0</v>
      </c>
      <c r="BB79" s="276">
        <f t="shared" si="93"/>
        <v>0</v>
      </c>
      <c r="BC79" s="276">
        <f t="shared" si="93"/>
        <v>0</v>
      </c>
      <c r="BD79" s="276">
        <f t="shared" si="93"/>
        <v>0</v>
      </c>
      <c r="BE79" s="276">
        <f t="shared" si="93"/>
        <v>0</v>
      </c>
      <c r="BF79" s="276">
        <f t="shared" si="93"/>
        <v>0</v>
      </c>
      <c r="BH79" s="276">
        <f t="shared" ref="BH79:BN79" si="94">SUM(BH60:BH61)-BH62</f>
        <v>0</v>
      </c>
      <c r="BI79" s="276">
        <f t="shared" si="94"/>
        <v>0</v>
      </c>
      <c r="BJ79" s="276">
        <f t="shared" si="94"/>
        <v>0</v>
      </c>
      <c r="BK79" s="276">
        <f t="shared" si="94"/>
        <v>0</v>
      </c>
      <c r="BL79" s="276">
        <f t="shared" si="94"/>
        <v>0</v>
      </c>
      <c r="BM79" s="276">
        <f t="shared" si="94"/>
        <v>0</v>
      </c>
      <c r="BN79" s="276">
        <f t="shared" si="94"/>
        <v>0</v>
      </c>
      <c r="BP79" s="276">
        <f t="shared" ref="BP79:BV79" si="95">SUM(BP60:BP61)-BP62</f>
        <v>0</v>
      </c>
      <c r="BQ79" s="276">
        <f t="shared" si="95"/>
        <v>0</v>
      </c>
      <c r="BR79" s="276">
        <f t="shared" si="95"/>
        <v>0</v>
      </c>
      <c r="BS79" s="276">
        <f t="shared" si="95"/>
        <v>0</v>
      </c>
      <c r="BT79" s="276">
        <f t="shared" si="95"/>
        <v>0</v>
      </c>
      <c r="BU79" s="276">
        <f t="shared" si="95"/>
        <v>0</v>
      </c>
      <c r="BV79" s="276">
        <f t="shared" si="95"/>
        <v>0</v>
      </c>
      <c r="BX79" s="276">
        <f t="shared" ref="BX79:CD79" si="96">SUM(BX60:BX61)-BX62</f>
        <v>0</v>
      </c>
      <c r="BY79" s="276">
        <f t="shared" si="96"/>
        <v>0</v>
      </c>
      <c r="BZ79" s="276">
        <f t="shared" si="96"/>
        <v>0</v>
      </c>
      <c r="CA79" s="276">
        <f t="shared" si="96"/>
        <v>0</v>
      </c>
      <c r="CB79" s="276">
        <f t="shared" si="96"/>
        <v>0</v>
      </c>
      <c r="CC79" s="276">
        <f t="shared" si="96"/>
        <v>0</v>
      </c>
      <c r="CD79" s="276">
        <f t="shared" si="96"/>
        <v>0</v>
      </c>
      <c r="CF79" s="276">
        <f t="shared" ref="CF79:CL79" si="97">SUM(CF60:CF61)-CF62</f>
        <v>0</v>
      </c>
      <c r="CG79" s="276">
        <f t="shared" si="97"/>
        <v>0</v>
      </c>
      <c r="CH79" s="276">
        <f t="shared" si="97"/>
        <v>0</v>
      </c>
      <c r="CI79" s="276">
        <f t="shared" si="97"/>
        <v>0</v>
      </c>
      <c r="CJ79" s="276">
        <f t="shared" si="97"/>
        <v>0</v>
      </c>
      <c r="CK79" s="276">
        <f t="shared" si="97"/>
        <v>0</v>
      </c>
      <c r="CL79" s="276">
        <f t="shared" si="97"/>
        <v>0</v>
      </c>
      <c r="CN79" s="276">
        <f t="shared" ref="CN79:CT79" si="98">SUM(CN60:CN61)-CN62</f>
        <v>0</v>
      </c>
      <c r="CO79" s="276">
        <f t="shared" si="98"/>
        <v>0</v>
      </c>
      <c r="CP79" s="276">
        <f t="shared" si="98"/>
        <v>0</v>
      </c>
      <c r="CQ79" s="276">
        <f t="shared" si="98"/>
        <v>0</v>
      </c>
      <c r="CR79" s="276">
        <f t="shared" si="98"/>
        <v>0</v>
      </c>
      <c r="CS79" s="276">
        <f t="shared" si="98"/>
        <v>0</v>
      </c>
      <c r="CT79" s="276">
        <f t="shared" si="98"/>
        <v>0</v>
      </c>
      <c r="CV79" s="276">
        <f t="shared" ref="CV79:DB79" si="99">SUM(CV60:CV61)-CV62</f>
        <v>0</v>
      </c>
      <c r="CW79" s="276">
        <f t="shared" si="99"/>
        <v>0</v>
      </c>
      <c r="CX79" s="276">
        <f t="shared" si="99"/>
        <v>0</v>
      </c>
      <c r="CY79" s="276">
        <f t="shared" si="99"/>
        <v>0</v>
      </c>
      <c r="CZ79" s="276">
        <f t="shared" si="99"/>
        <v>0</v>
      </c>
      <c r="DA79" s="276">
        <f t="shared" si="99"/>
        <v>0</v>
      </c>
      <c r="DB79" s="276">
        <f t="shared" si="99"/>
        <v>0</v>
      </c>
      <c r="DD79" s="276">
        <f t="shared" ref="DD79:DJ79" si="100">SUM(DD60:DD61)-DD62</f>
        <v>0</v>
      </c>
      <c r="DE79" s="276">
        <f t="shared" si="100"/>
        <v>0</v>
      </c>
      <c r="DF79" s="276">
        <f t="shared" si="100"/>
        <v>0</v>
      </c>
      <c r="DG79" s="276">
        <f t="shared" si="100"/>
        <v>0</v>
      </c>
      <c r="DH79" s="276">
        <f t="shared" si="100"/>
        <v>0</v>
      </c>
      <c r="DI79" s="276">
        <f t="shared" si="100"/>
        <v>0</v>
      </c>
      <c r="DJ79" s="276">
        <f t="shared" si="100"/>
        <v>0</v>
      </c>
      <c r="DL79" s="276">
        <f t="shared" ref="DL79:DR79" si="101">SUM(DL60:DL61)-DL62</f>
        <v>0</v>
      </c>
      <c r="DM79" s="276">
        <f t="shared" si="101"/>
        <v>0</v>
      </c>
      <c r="DN79" s="276">
        <f t="shared" si="101"/>
        <v>0</v>
      </c>
      <c r="DO79" s="276">
        <f t="shared" si="101"/>
        <v>0</v>
      </c>
      <c r="DP79" s="276">
        <f t="shared" si="101"/>
        <v>0</v>
      </c>
      <c r="DQ79" s="276">
        <f t="shared" si="101"/>
        <v>0</v>
      </c>
      <c r="DR79" s="276">
        <f t="shared" si="101"/>
        <v>0</v>
      </c>
      <c r="DT79" s="276">
        <f t="shared" ref="DT79:DZ79" si="102">SUM(DT60:DT61)-DT62</f>
        <v>0</v>
      </c>
      <c r="DU79" s="276">
        <f t="shared" si="102"/>
        <v>0</v>
      </c>
      <c r="DV79" s="276">
        <f t="shared" si="102"/>
        <v>0</v>
      </c>
      <c r="DW79" s="276">
        <f t="shared" si="102"/>
        <v>0</v>
      </c>
      <c r="DX79" s="276">
        <f t="shared" si="102"/>
        <v>0</v>
      </c>
      <c r="DY79" s="276">
        <f t="shared" si="102"/>
        <v>0</v>
      </c>
      <c r="DZ79" s="276">
        <f t="shared" si="102"/>
        <v>0</v>
      </c>
      <c r="EB79" s="276">
        <f t="shared" ref="EB79:EF79" si="103">SUM(EB60:EB61)-EB62</f>
        <v>0</v>
      </c>
      <c r="EC79" s="276">
        <f t="shared" si="103"/>
        <v>0</v>
      </c>
      <c r="ED79" s="276">
        <f t="shared" si="103"/>
        <v>0</v>
      </c>
      <c r="EE79" s="276">
        <f t="shared" si="103"/>
        <v>0</v>
      </c>
      <c r="EF79" s="276">
        <f t="shared" si="103"/>
        <v>0</v>
      </c>
    </row>
    <row r="80" spans="1:136" hidden="1" outlineLevel="1" x14ac:dyDescent="0.25">
      <c r="A80" s="277" t="s">
        <v>40</v>
      </c>
      <c r="D80" s="276">
        <f t="shared" ref="D80:E80" si="104">D58-D62-D64</f>
        <v>0</v>
      </c>
      <c r="E80" s="276">
        <f t="shared" si="104"/>
        <v>0</v>
      </c>
      <c r="F80" s="276">
        <f t="shared" ref="F80:G80" si="105">F58-F62-F64</f>
        <v>0</v>
      </c>
      <c r="G80" s="276">
        <f t="shared" si="105"/>
        <v>0</v>
      </c>
      <c r="H80" s="276">
        <f t="shared" ref="H80:I80" si="106">H58-H62-H64</f>
        <v>0</v>
      </c>
      <c r="I80" s="276">
        <f t="shared" si="106"/>
        <v>0</v>
      </c>
      <c r="J80" s="276">
        <f t="shared" ref="J80" si="107">J58-J62-J64</f>
        <v>0</v>
      </c>
      <c r="L80" s="276">
        <f t="shared" ref="L80:R80" si="108">L58-L62-L64</f>
        <v>0</v>
      </c>
      <c r="M80" s="276">
        <f t="shared" si="108"/>
        <v>0</v>
      </c>
      <c r="N80" s="276">
        <f t="shared" si="108"/>
        <v>0</v>
      </c>
      <c r="O80" s="276">
        <f t="shared" si="108"/>
        <v>0</v>
      </c>
      <c r="P80" s="276">
        <f t="shared" si="108"/>
        <v>0</v>
      </c>
      <c r="Q80" s="276">
        <f t="shared" si="108"/>
        <v>0</v>
      </c>
      <c r="R80" s="276">
        <f t="shared" si="108"/>
        <v>0</v>
      </c>
      <c r="T80" s="276">
        <f t="shared" ref="T80:Z80" si="109">T58-T62-T64</f>
        <v>0</v>
      </c>
      <c r="U80" s="276">
        <f t="shared" si="109"/>
        <v>0</v>
      </c>
      <c r="V80" s="276">
        <f t="shared" si="109"/>
        <v>0</v>
      </c>
      <c r="W80" s="276">
        <f t="shared" si="109"/>
        <v>0</v>
      </c>
      <c r="X80" s="276">
        <f t="shared" si="109"/>
        <v>0</v>
      </c>
      <c r="Y80" s="276">
        <f t="shared" si="109"/>
        <v>0</v>
      </c>
      <c r="Z80" s="276">
        <f t="shared" si="109"/>
        <v>0</v>
      </c>
      <c r="AB80" s="276">
        <f t="shared" ref="AB80:AH80" si="110">AB58-AB62-AB64</f>
        <v>0</v>
      </c>
      <c r="AC80" s="276">
        <f t="shared" si="110"/>
        <v>0</v>
      </c>
      <c r="AD80" s="276">
        <f t="shared" si="110"/>
        <v>0</v>
      </c>
      <c r="AE80" s="276">
        <f t="shared" si="110"/>
        <v>0</v>
      </c>
      <c r="AF80" s="276">
        <f t="shared" si="110"/>
        <v>0</v>
      </c>
      <c r="AG80" s="276">
        <f t="shared" si="110"/>
        <v>0</v>
      </c>
      <c r="AH80" s="276">
        <f t="shared" si="110"/>
        <v>0</v>
      </c>
      <c r="AJ80" s="276">
        <f t="shared" ref="AJ80:AP80" si="111">AJ58-AJ62-AJ64</f>
        <v>0</v>
      </c>
      <c r="AK80" s="276">
        <f t="shared" si="111"/>
        <v>0</v>
      </c>
      <c r="AL80" s="276">
        <f t="shared" si="111"/>
        <v>0</v>
      </c>
      <c r="AM80" s="276">
        <f t="shared" si="111"/>
        <v>0</v>
      </c>
      <c r="AN80" s="276">
        <f t="shared" si="111"/>
        <v>0</v>
      </c>
      <c r="AO80" s="276">
        <f t="shared" si="111"/>
        <v>0</v>
      </c>
      <c r="AP80" s="276">
        <f t="shared" si="111"/>
        <v>0</v>
      </c>
      <c r="AR80" s="276">
        <f t="shared" ref="AR80:AX80" si="112">AR58-AR62-AR64</f>
        <v>0</v>
      </c>
      <c r="AS80" s="276">
        <f t="shared" si="112"/>
        <v>0</v>
      </c>
      <c r="AT80" s="276">
        <f t="shared" si="112"/>
        <v>0</v>
      </c>
      <c r="AU80" s="276">
        <f t="shared" si="112"/>
        <v>0</v>
      </c>
      <c r="AV80" s="276">
        <f t="shared" si="112"/>
        <v>0</v>
      </c>
      <c r="AW80" s="276">
        <f t="shared" si="112"/>
        <v>0</v>
      </c>
      <c r="AX80" s="276">
        <f t="shared" si="112"/>
        <v>0</v>
      </c>
      <c r="AZ80" s="276">
        <f t="shared" ref="AZ80:BF80" si="113">AZ58-AZ62-AZ64</f>
        <v>0</v>
      </c>
      <c r="BA80" s="276">
        <f t="shared" si="113"/>
        <v>0</v>
      </c>
      <c r="BB80" s="276">
        <f t="shared" si="113"/>
        <v>0</v>
      </c>
      <c r="BC80" s="276">
        <f t="shared" si="113"/>
        <v>0</v>
      </c>
      <c r="BD80" s="276">
        <f t="shared" si="113"/>
        <v>0</v>
      </c>
      <c r="BE80" s="276">
        <f t="shared" si="113"/>
        <v>0</v>
      </c>
      <c r="BF80" s="276">
        <f t="shared" si="113"/>
        <v>0</v>
      </c>
      <c r="BH80" s="276">
        <f t="shared" ref="BH80:BN80" si="114">BH58-BH62-BH64</f>
        <v>0</v>
      </c>
      <c r="BI80" s="276">
        <f t="shared" si="114"/>
        <v>0</v>
      </c>
      <c r="BJ80" s="276">
        <f t="shared" si="114"/>
        <v>0</v>
      </c>
      <c r="BK80" s="276">
        <f t="shared" si="114"/>
        <v>0</v>
      </c>
      <c r="BL80" s="276">
        <f t="shared" si="114"/>
        <v>0</v>
      </c>
      <c r="BM80" s="276">
        <f t="shared" si="114"/>
        <v>0</v>
      </c>
      <c r="BN80" s="276">
        <f t="shared" si="114"/>
        <v>0</v>
      </c>
      <c r="BP80" s="276">
        <f t="shared" ref="BP80:BV80" si="115">BP58-BP62-BP64</f>
        <v>0</v>
      </c>
      <c r="BQ80" s="276">
        <f t="shared" si="115"/>
        <v>0</v>
      </c>
      <c r="BR80" s="276">
        <f t="shared" si="115"/>
        <v>0</v>
      </c>
      <c r="BS80" s="276">
        <f t="shared" si="115"/>
        <v>0</v>
      </c>
      <c r="BT80" s="276">
        <f t="shared" si="115"/>
        <v>0</v>
      </c>
      <c r="BU80" s="276">
        <f t="shared" si="115"/>
        <v>0</v>
      </c>
      <c r="BV80" s="276">
        <f t="shared" si="115"/>
        <v>0</v>
      </c>
      <c r="BX80" s="276">
        <f t="shared" ref="BX80:CD80" si="116">BX58-BX62-BX64</f>
        <v>0</v>
      </c>
      <c r="BY80" s="276">
        <f t="shared" si="116"/>
        <v>0</v>
      </c>
      <c r="BZ80" s="276">
        <f t="shared" si="116"/>
        <v>0</v>
      </c>
      <c r="CA80" s="276">
        <f t="shared" si="116"/>
        <v>0</v>
      </c>
      <c r="CB80" s="276">
        <f t="shared" si="116"/>
        <v>0</v>
      </c>
      <c r="CC80" s="276">
        <f t="shared" si="116"/>
        <v>0</v>
      </c>
      <c r="CD80" s="276">
        <f t="shared" si="116"/>
        <v>0</v>
      </c>
      <c r="CF80" s="276">
        <f t="shared" ref="CF80:CL80" si="117">CF58-CF62-CF64</f>
        <v>0</v>
      </c>
      <c r="CG80" s="276">
        <f t="shared" si="117"/>
        <v>0</v>
      </c>
      <c r="CH80" s="276">
        <f t="shared" si="117"/>
        <v>0</v>
      </c>
      <c r="CI80" s="276">
        <f t="shared" si="117"/>
        <v>0</v>
      </c>
      <c r="CJ80" s="276">
        <f t="shared" si="117"/>
        <v>0</v>
      </c>
      <c r="CK80" s="276">
        <f t="shared" si="117"/>
        <v>0</v>
      </c>
      <c r="CL80" s="276">
        <f t="shared" si="117"/>
        <v>0</v>
      </c>
      <c r="CN80" s="276">
        <f t="shared" ref="CN80:CT80" si="118">CN58-CN62-CN64</f>
        <v>0</v>
      </c>
      <c r="CO80" s="276">
        <f t="shared" si="118"/>
        <v>0</v>
      </c>
      <c r="CP80" s="276">
        <f t="shared" si="118"/>
        <v>0</v>
      </c>
      <c r="CQ80" s="276">
        <f t="shared" si="118"/>
        <v>0</v>
      </c>
      <c r="CR80" s="276">
        <f t="shared" si="118"/>
        <v>0</v>
      </c>
      <c r="CS80" s="276">
        <f t="shared" si="118"/>
        <v>0</v>
      </c>
      <c r="CT80" s="276">
        <f t="shared" si="118"/>
        <v>0</v>
      </c>
      <c r="CV80" s="276">
        <f t="shared" ref="CV80:DB80" si="119">CV58-CV62-CV64</f>
        <v>0</v>
      </c>
      <c r="CW80" s="276">
        <f t="shared" si="119"/>
        <v>0</v>
      </c>
      <c r="CX80" s="276">
        <f t="shared" si="119"/>
        <v>0</v>
      </c>
      <c r="CY80" s="276">
        <f t="shared" si="119"/>
        <v>0</v>
      </c>
      <c r="CZ80" s="276">
        <f t="shared" si="119"/>
        <v>0</v>
      </c>
      <c r="DA80" s="276">
        <f t="shared" si="119"/>
        <v>0</v>
      </c>
      <c r="DB80" s="276">
        <f t="shared" si="119"/>
        <v>0</v>
      </c>
      <c r="DD80" s="276">
        <f t="shared" ref="DD80:DJ80" si="120">DD58-DD62-DD64</f>
        <v>0</v>
      </c>
      <c r="DE80" s="276">
        <f t="shared" si="120"/>
        <v>0</v>
      </c>
      <c r="DF80" s="276">
        <f t="shared" si="120"/>
        <v>0</v>
      </c>
      <c r="DG80" s="276">
        <f t="shared" si="120"/>
        <v>0</v>
      </c>
      <c r="DH80" s="276">
        <f t="shared" si="120"/>
        <v>0</v>
      </c>
      <c r="DI80" s="276">
        <f t="shared" si="120"/>
        <v>0</v>
      </c>
      <c r="DJ80" s="276">
        <f t="shared" si="120"/>
        <v>0</v>
      </c>
      <c r="DL80" s="276">
        <f t="shared" ref="DL80:DR80" si="121">DL58-DL62-DL64</f>
        <v>0</v>
      </c>
      <c r="DM80" s="276">
        <f t="shared" si="121"/>
        <v>0</v>
      </c>
      <c r="DN80" s="276">
        <f t="shared" si="121"/>
        <v>0</v>
      </c>
      <c r="DO80" s="276">
        <f t="shared" si="121"/>
        <v>0</v>
      </c>
      <c r="DP80" s="276">
        <f t="shared" si="121"/>
        <v>0</v>
      </c>
      <c r="DQ80" s="276">
        <f t="shared" si="121"/>
        <v>0</v>
      </c>
      <c r="DR80" s="276">
        <f t="shared" si="121"/>
        <v>0</v>
      </c>
      <c r="DT80" s="276">
        <f t="shared" ref="DT80:DZ80" si="122">DT58-DT62-DT64</f>
        <v>0</v>
      </c>
      <c r="DU80" s="276">
        <f t="shared" si="122"/>
        <v>0</v>
      </c>
      <c r="DV80" s="276">
        <f t="shared" si="122"/>
        <v>0</v>
      </c>
      <c r="DW80" s="276">
        <f t="shared" si="122"/>
        <v>0</v>
      </c>
      <c r="DX80" s="276">
        <f t="shared" si="122"/>
        <v>0</v>
      </c>
      <c r="DY80" s="276">
        <f t="shared" si="122"/>
        <v>0</v>
      </c>
      <c r="DZ80" s="276">
        <f t="shared" si="122"/>
        <v>0</v>
      </c>
      <c r="EB80" s="276">
        <f t="shared" ref="EB80:EF80" si="123">EB58-EB62-EB64</f>
        <v>0</v>
      </c>
      <c r="EC80" s="276">
        <f t="shared" si="123"/>
        <v>0</v>
      </c>
      <c r="ED80" s="276">
        <f t="shared" si="123"/>
        <v>0</v>
      </c>
      <c r="EE80" s="276">
        <f t="shared" si="123"/>
        <v>0</v>
      </c>
      <c r="EF80" s="276">
        <f t="shared" si="123"/>
        <v>0</v>
      </c>
    </row>
    <row r="81" collapsed="1" x14ac:dyDescent="0.25"/>
  </sheetData>
  <mergeCells count="17">
    <mergeCell ref="EB22:EF22"/>
    <mergeCell ref="CN22:CT22"/>
    <mergeCell ref="AZ22:BF22"/>
    <mergeCell ref="BH22:BN22"/>
    <mergeCell ref="BP22:BV22"/>
    <mergeCell ref="BX22:CD22"/>
    <mergeCell ref="CF22:CL22"/>
    <mergeCell ref="CV22:DB22"/>
    <mergeCell ref="DD22:DJ22"/>
    <mergeCell ref="DL22:DR22"/>
    <mergeCell ref="DT22:DZ22"/>
    <mergeCell ref="D22:J22"/>
    <mergeCell ref="AJ22:AP22"/>
    <mergeCell ref="AR22:AX22"/>
    <mergeCell ref="L22:R22"/>
    <mergeCell ref="T22:Z22"/>
    <mergeCell ref="AB22:AH22"/>
  </mergeCells>
  <pageMargins left="0.7" right="0.7" top="0.75" bottom="0.75" header="0.3" footer="0.3"/>
  <pageSetup scale="10" orientation="portrait" r:id="rId1"/>
  <headerFooter alignWithMargins="0"/>
  <customProperties>
    <customPr name="SheetOptions"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pageSetUpPr fitToPage="1"/>
  </sheetPr>
  <dimension ref="A1:CS72"/>
  <sheetViews>
    <sheetView workbookViewId="0"/>
  </sheetViews>
  <sheetFormatPr defaultColWidth="9.140625" defaultRowHeight="15" outlineLevelRow="1" outlineLevelCol="1" x14ac:dyDescent="0.25"/>
  <cols>
    <col min="1" max="1" width="40.140625" style="4" customWidth="1"/>
    <col min="2" max="2" width="9" style="4" customWidth="1"/>
    <col min="3" max="3" width="2.5703125" style="4" customWidth="1"/>
    <col min="4" max="9" width="9.140625" style="4" customWidth="1"/>
    <col min="10" max="10" width="2.5703125" style="4" customWidth="1"/>
    <col min="11" max="17" width="11" style="4" customWidth="1"/>
    <col min="18" max="18" width="2.5703125" style="4" customWidth="1"/>
    <col min="19" max="25" width="8.7109375" style="4" customWidth="1"/>
    <col min="26" max="26" width="3" style="4" customWidth="1"/>
    <col min="27" max="27" width="8.7109375" style="4" customWidth="1"/>
    <col min="28" max="33" width="9" style="4" customWidth="1"/>
    <col min="34" max="34" width="2.7109375" style="4" customWidth="1"/>
    <col min="35" max="41" width="9" style="4" customWidth="1"/>
    <col min="42" max="42" width="2.5703125" style="4" customWidth="1"/>
    <col min="43" max="44" width="9" style="4" customWidth="1"/>
    <col min="45" max="45" width="9" style="4" customWidth="1" outlineLevel="1"/>
    <col min="46" max="46" width="9" style="4" customWidth="1"/>
    <col min="47" max="47" width="9" style="4" customWidth="1" outlineLevel="1"/>
    <col min="48" max="49" width="9" style="4" customWidth="1"/>
    <col min="50" max="50" width="2.42578125" style="4" customWidth="1"/>
    <col min="51" max="52" width="9" style="4" customWidth="1"/>
    <col min="53" max="53" width="8" style="4" customWidth="1" outlineLevel="1"/>
    <col min="54" max="54" width="11.5703125" style="4" customWidth="1"/>
    <col min="55" max="55" width="11.5703125" style="4" customWidth="1" outlineLevel="1"/>
    <col min="56" max="56" width="12.28515625" style="4" customWidth="1"/>
    <col min="57" max="57" width="9" style="4" customWidth="1"/>
    <col min="58" max="58" width="2.5703125" style="4" customWidth="1"/>
    <col min="59" max="60" width="9" style="67" customWidth="1"/>
    <col min="61" max="61" width="8" style="4" customWidth="1" outlineLevel="1"/>
    <col min="62" max="62" width="9" style="4" customWidth="1"/>
    <col min="63" max="63" width="9" style="4" customWidth="1" outlineLevel="1"/>
    <col min="64" max="65" width="9" style="4" customWidth="1"/>
    <col min="66" max="66" width="2.42578125" style="4" customWidth="1"/>
    <col min="67" max="68" width="9" style="67" customWidth="1"/>
    <col min="69" max="69" width="8" style="4" customWidth="1" outlineLevel="1"/>
    <col min="70" max="70" width="9" style="4" customWidth="1"/>
    <col min="71" max="71" width="9" style="4" customWidth="1" outlineLevel="1"/>
    <col min="72" max="73" width="9" style="4" customWidth="1"/>
    <col min="74" max="74" width="2.42578125" style="4" customWidth="1"/>
    <col min="75" max="76" width="9" style="4" customWidth="1"/>
    <col min="77" max="77" width="8" style="4" customWidth="1" outlineLevel="1"/>
    <col min="78" max="78" width="9" style="4" customWidth="1"/>
    <col min="79" max="79" width="9" style="4" customWidth="1" outlineLevel="1"/>
    <col min="80" max="81" width="9" style="4" customWidth="1"/>
    <col min="82" max="82" width="2.42578125" style="4" customWidth="1"/>
    <col min="83" max="84" width="9" style="4" customWidth="1"/>
    <col min="85" max="85" width="8" style="4" customWidth="1" outlineLevel="1"/>
    <col min="86" max="86" width="9" style="4" customWidth="1"/>
    <col min="87" max="87" width="8" style="4" customWidth="1" outlineLevel="1"/>
    <col min="88" max="88" width="9" style="4" customWidth="1"/>
    <col min="89" max="89" width="8" style="4" customWidth="1"/>
    <col min="90" max="90" width="2.42578125" style="4" customWidth="1"/>
    <col min="91" max="92" width="9" style="4" customWidth="1"/>
    <col min="93" max="93" width="8" style="4" customWidth="1" outlineLevel="1"/>
    <col min="94" max="94" width="9" style="4" customWidth="1"/>
    <col min="95" max="95" width="8" style="4" customWidth="1" outlineLevel="1"/>
    <col min="96" max="96" width="9" style="4" customWidth="1"/>
    <col min="97" max="97" width="8" style="4" customWidth="1"/>
    <col min="98" max="16384" width="9.140625" style="4"/>
  </cols>
  <sheetData>
    <row r="1" spans="1:97" x14ac:dyDescent="0.25">
      <c r="A1" s="355" t="s">
        <v>80</v>
      </c>
      <c r="B1" s="338">
        <v>70.2</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1"/>
      <c r="AY1" s="247"/>
      <c r="AZ1" s="1"/>
      <c r="BA1" s="1"/>
      <c r="BB1" s="1"/>
      <c r="BC1" s="1"/>
      <c r="BD1" s="1"/>
      <c r="BE1" s="1"/>
      <c r="BF1" s="1"/>
      <c r="BG1" s="2"/>
      <c r="BH1" s="2"/>
      <c r="BI1" s="1"/>
      <c r="BJ1" s="1"/>
      <c r="BK1" s="1"/>
      <c r="BL1" s="1"/>
      <c r="BM1" s="1"/>
      <c r="BN1" s="1"/>
      <c r="BO1" s="2"/>
      <c r="BP1" s="2"/>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3"/>
    </row>
    <row r="2" spans="1:97" x14ac:dyDescent="0.25">
      <c r="A2" s="304" t="s">
        <v>42</v>
      </c>
      <c r="B2" s="303">
        <v>25.2</v>
      </c>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6"/>
      <c r="AY2" s="218"/>
      <c r="AZ2" s="6"/>
      <c r="BA2" s="89"/>
      <c r="BB2" s="75"/>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7"/>
    </row>
    <row r="3" spans="1:97" ht="15" customHeight="1" x14ac:dyDescent="0.25">
      <c r="A3" s="302" t="s">
        <v>43</v>
      </c>
      <c r="B3" s="303">
        <v>1.1000000000000001</v>
      </c>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6"/>
      <c r="AY3" s="218"/>
      <c r="AZ3" s="9"/>
      <c r="BA3" s="6"/>
      <c r="BB3" s="90"/>
      <c r="BC3" s="10"/>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7"/>
    </row>
    <row r="4" spans="1:97" s="14" customFormat="1" ht="15" customHeight="1" x14ac:dyDescent="0.25">
      <c r="A4" s="304" t="s">
        <v>44</v>
      </c>
      <c r="B4" s="303">
        <v>43.9</v>
      </c>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12"/>
      <c r="AY4" s="218"/>
      <c r="AZ4" s="11"/>
      <c r="BA4" s="6"/>
      <c r="BB4" s="90"/>
      <c r="BC4" s="10"/>
      <c r="BD4" s="10"/>
      <c r="BE4" s="10"/>
      <c r="BF4" s="12"/>
      <c r="BG4" s="10"/>
      <c r="BH4" s="10"/>
      <c r="BI4" s="10"/>
      <c r="BJ4" s="10"/>
      <c r="BK4" s="10"/>
      <c r="BL4" s="10"/>
      <c r="BM4" s="10"/>
      <c r="BN4" s="12"/>
      <c r="BO4" s="10"/>
      <c r="BP4" s="10"/>
      <c r="BQ4" s="10"/>
      <c r="BR4" s="10"/>
      <c r="BS4" s="10"/>
      <c r="BT4" s="10"/>
      <c r="BU4" s="10"/>
      <c r="BV4" s="12"/>
      <c r="BW4" s="10"/>
      <c r="BX4" s="10"/>
      <c r="BY4" s="10"/>
      <c r="BZ4" s="10"/>
      <c r="CA4" s="10"/>
      <c r="CB4" s="10"/>
      <c r="CC4" s="10"/>
      <c r="CD4" s="12"/>
      <c r="CE4" s="10"/>
      <c r="CF4" s="10"/>
      <c r="CG4" s="10"/>
      <c r="CH4" s="10"/>
      <c r="CI4" s="12"/>
      <c r="CJ4" s="10"/>
      <c r="CK4" s="10"/>
      <c r="CL4" s="12"/>
      <c r="CM4" s="10"/>
      <c r="CN4" s="10"/>
      <c r="CO4" s="10"/>
      <c r="CP4" s="10"/>
      <c r="CQ4" s="12"/>
      <c r="CR4" s="10"/>
      <c r="CS4" s="13"/>
    </row>
    <row r="5" spans="1:97" s="14" customFormat="1" ht="15" customHeight="1" x14ac:dyDescent="0.25">
      <c r="A5" s="304"/>
      <c r="B5" s="303"/>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12"/>
      <c r="AY5" s="218"/>
      <c r="AZ5" s="11"/>
      <c r="BA5" s="10"/>
      <c r="BB5" s="10"/>
      <c r="BC5" s="10"/>
      <c r="BD5" s="19"/>
      <c r="BE5" s="10"/>
      <c r="BF5" s="12"/>
      <c r="BG5" s="10"/>
      <c r="BH5"/>
      <c r="BI5" s="10"/>
      <c r="BJ5" s="10"/>
      <c r="BK5" s="10"/>
      <c r="BL5" s="10"/>
      <c r="BM5" s="10"/>
      <c r="BN5" s="12"/>
      <c r="BO5" s="10"/>
      <c r="BP5" s="10"/>
      <c r="BQ5" s="10"/>
      <c r="BR5" s="10"/>
      <c r="BS5" s="10"/>
      <c r="BT5" s="10"/>
      <c r="BU5" s="10"/>
      <c r="BV5" s="12"/>
      <c r="BW5" s="10"/>
      <c r="BX5" s="10"/>
      <c r="BY5" s="10"/>
      <c r="BZ5" s="10"/>
      <c r="CA5" s="10"/>
      <c r="CB5" s="10"/>
      <c r="CC5" s="10"/>
      <c r="CD5" s="12"/>
      <c r="CE5" s="10"/>
      <c r="CF5" s="10"/>
      <c r="CG5" s="10"/>
      <c r="CH5" s="10"/>
      <c r="CI5" s="12"/>
      <c r="CJ5" s="10"/>
      <c r="CK5" s="10"/>
      <c r="CL5" s="12"/>
      <c r="CM5" s="10"/>
      <c r="CN5" s="10"/>
      <c r="CO5" s="10"/>
      <c r="CP5" s="10"/>
      <c r="CQ5" s="12"/>
      <c r="CR5" s="10"/>
      <c r="CS5" s="13"/>
    </row>
    <row r="6" spans="1:97" s="14" customFormat="1" ht="15" customHeight="1" x14ac:dyDescent="0.25">
      <c r="A6" s="302" t="s">
        <v>81</v>
      </c>
      <c r="B6" s="303">
        <v>0.9</v>
      </c>
      <c r="C6" s="218"/>
      <c r="D6" s="218"/>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12"/>
      <c r="AY6" s="218"/>
      <c r="AZ6" s="11"/>
      <c r="BA6" s="10"/>
      <c r="BB6" s="10"/>
      <c r="BC6" s="10"/>
      <c r="BD6" s="10"/>
      <c r="BE6" s="10"/>
      <c r="BF6" s="12"/>
      <c r="BG6" s="10"/>
      <c r="BH6" s="10"/>
      <c r="BI6" s="10"/>
      <c r="BJ6" s="10"/>
      <c r="BK6" s="10"/>
      <c r="BL6" s="10"/>
      <c r="BM6" s="10"/>
      <c r="BN6" s="12"/>
      <c r="BO6" s="10"/>
      <c r="BP6" s="10"/>
      <c r="BQ6" s="10"/>
      <c r="BR6" s="10"/>
      <c r="BS6" s="10"/>
      <c r="BT6" s="10"/>
      <c r="BU6" s="10"/>
      <c r="BV6" s="12"/>
      <c r="BW6" s="10"/>
      <c r="BX6" s="10"/>
      <c r="BY6" s="10"/>
      <c r="BZ6" s="10"/>
      <c r="CA6" s="10"/>
      <c r="CB6" s="10"/>
      <c r="CC6" s="10"/>
      <c r="CD6" s="12"/>
      <c r="CE6" s="10"/>
      <c r="CF6" s="10"/>
      <c r="CG6" s="10"/>
      <c r="CH6" s="10"/>
      <c r="CI6" s="12"/>
      <c r="CJ6" s="10"/>
      <c r="CK6" s="10"/>
      <c r="CL6" s="12"/>
      <c r="CM6" s="10"/>
      <c r="CN6" s="10"/>
      <c r="CO6" s="10"/>
      <c r="CP6" s="10"/>
      <c r="CQ6" s="12"/>
      <c r="CR6" s="10"/>
      <c r="CS6" s="13"/>
    </row>
    <row r="7" spans="1:97" s="14" customFormat="1" x14ac:dyDescent="0.25">
      <c r="A7" s="304" t="s">
        <v>82</v>
      </c>
      <c r="B7" s="303">
        <v>-30</v>
      </c>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45"/>
      <c r="AR7" s="245"/>
      <c r="AS7" s="245"/>
      <c r="AT7" s="245"/>
      <c r="AU7" s="245"/>
      <c r="AV7" s="245"/>
      <c r="AW7" s="245"/>
      <c r="AX7" s="12"/>
      <c r="AY7" s="245"/>
      <c r="AZ7" s="9"/>
      <c r="BA7" s="10"/>
      <c r="BB7" s="10"/>
      <c r="BC7" s="10"/>
      <c r="BD7" s="10"/>
      <c r="BE7" s="10"/>
      <c r="BF7" s="12"/>
      <c r="BG7" s="10"/>
      <c r="BH7" s="10"/>
      <c r="BI7" s="10"/>
      <c r="BJ7" s="10"/>
      <c r="BK7" s="10"/>
      <c r="BL7" s="10"/>
      <c r="BM7" s="10"/>
      <c r="BN7" s="12"/>
      <c r="BO7" s="10"/>
      <c r="BP7" s="10"/>
      <c r="BQ7" s="10"/>
      <c r="BR7" s="10"/>
      <c r="BS7" s="10"/>
      <c r="BT7" s="10"/>
      <c r="BU7" s="10"/>
      <c r="BV7" s="12"/>
      <c r="BW7" s="10"/>
      <c r="BX7" s="10"/>
      <c r="BY7" s="10"/>
      <c r="BZ7" s="10"/>
      <c r="CA7" s="10"/>
      <c r="CB7" s="10"/>
      <c r="CC7" s="10"/>
      <c r="CD7" s="12"/>
      <c r="CE7" s="10"/>
      <c r="CF7" s="10"/>
      <c r="CG7" s="10"/>
      <c r="CH7" s="10"/>
      <c r="CI7" s="12"/>
      <c r="CJ7" s="10"/>
      <c r="CK7" s="10"/>
      <c r="CL7" s="12"/>
      <c r="CM7" s="10"/>
      <c r="CN7" s="10"/>
      <c r="CO7" s="10"/>
      <c r="CP7" s="10"/>
      <c r="CQ7" s="12"/>
      <c r="CR7" s="10"/>
      <c r="CS7" s="13"/>
    </row>
    <row r="8" spans="1:97" s="14" customFormat="1" x14ac:dyDescent="0.25">
      <c r="A8" s="304" t="s">
        <v>83</v>
      </c>
      <c r="B8" s="303">
        <v>43</v>
      </c>
      <c r="C8" s="218"/>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45"/>
      <c r="AR8" s="245"/>
      <c r="AS8" s="245"/>
      <c r="AT8" s="245"/>
      <c r="AU8" s="245"/>
      <c r="AV8" s="245"/>
      <c r="AW8" s="245"/>
      <c r="AX8" s="12"/>
      <c r="AY8" s="245"/>
      <c r="AZ8" s="9"/>
      <c r="BA8" s="10"/>
      <c r="BB8" s="10"/>
      <c r="BC8" s="10"/>
      <c r="BD8" s="10"/>
      <c r="BE8" s="10"/>
      <c r="BF8" s="12"/>
      <c r="BG8" s="10"/>
      <c r="BH8" s="10"/>
      <c r="BI8" s="10"/>
      <c r="BJ8" s="10"/>
      <c r="BK8" s="10"/>
      <c r="BL8" s="10"/>
      <c r="BM8" s="10"/>
      <c r="BN8" s="12"/>
      <c r="BO8" s="10"/>
      <c r="BP8" s="10"/>
      <c r="BQ8" s="10"/>
      <c r="BR8" s="10"/>
      <c r="BS8" s="10"/>
      <c r="BT8" s="10"/>
      <c r="BU8" s="10"/>
      <c r="BV8" s="12"/>
      <c r="BW8" s="10"/>
      <c r="BX8" s="10"/>
      <c r="BY8" s="10"/>
      <c r="BZ8" s="10"/>
      <c r="CA8" s="10"/>
      <c r="CB8" s="10"/>
      <c r="CC8" s="10"/>
      <c r="CD8" s="12"/>
      <c r="CE8" s="10"/>
      <c r="CF8" s="10"/>
      <c r="CG8" s="10"/>
      <c r="CH8" s="10"/>
      <c r="CI8" s="12"/>
      <c r="CJ8" s="10"/>
      <c r="CK8" s="10"/>
      <c r="CL8" s="12"/>
      <c r="CM8" s="10"/>
      <c r="CN8" s="10"/>
      <c r="CO8" s="10"/>
      <c r="CP8" s="10"/>
      <c r="CQ8" s="12"/>
      <c r="CR8" s="10"/>
      <c r="CS8" s="13"/>
    </row>
    <row r="9" spans="1:97" s="14" customFormat="1" x14ac:dyDescent="0.25">
      <c r="A9" s="304" t="s">
        <v>181</v>
      </c>
      <c r="B9" s="303">
        <v>1.5</v>
      </c>
      <c r="C9" s="218"/>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45"/>
      <c r="AR9" s="245"/>
      <c r="AS9" s="245"/>
      <c r="AT9" s="245"/>
      <c r="AU9" s="245"/>
      <c r="AV9" s="245"/>
      <c r="AW9" s="245"/>
      <c r="AX9" s="12"/>
      <c r="AY9" s="245"/>
      <c r="AZ9" s="9"/>
      <c r="BA9" s="10"/>
      <c r="BB9" s="10"/>
      <c r="BC9" s="10"/>
      <c r="BD9" s="10"/>
      <c r="BE9" s="10"/>
      <c r="BF9" s="12"/>
      <c r="BG9" s="10"/>
      <c r="BH9" s="10"/>
      <c r="BI9" s="10"/>
      <c r="BJ9" s="10"/>
      <c r="BK9" s="10"/>
      <c r="BL9" s="10"/>
      <c r="BM9" s="10"/>
      <c r="BN9" s="12"/>
      <c r="BO9" s="10"/>
      <c r="BP9" s="10"/>
      <c r="BQ9" s="10"/>
      <c r="BR9" s="10"/>
      <c r="BS9" s="10"/>
      <c r="BT9" s="10"/>
      <c r="BU9" s="10"/>
      <c r="BV9" s="12"/>
      <c r="BW9" s="10"/>
      <c r="BX9" s="10"/>
      <c r="BY9" s="10"/>
      <c r="BZ9" s="10"/>
      <c r="CA9" s="10"/>
      <c r="CB9" s="10"/>
      <c r="CC9" s="10"/>
      <c r="CD9" s="12"/>
      <c r="CE9" s="10"/>
      <c r="CF9" s="10"/>
      <c r="CG9" s="10"/>
      <c r="CH9" s="10"/>
      <c r="CI9" s="12"/>
      <c r="CJ9" s="10"/>
      <c r="CK9" s="10"/>
      <c r="CL9" s="12"/>
      <c r="CM9" s="10"/>
      <c r="CN9" s="10"/>
      <c r="CO9" s="10"/>
      <c r="CP9" s="10"/>
      <c r="CQ9" s="12"/>
      <c r="CR9" s="10"/>
      <c r="CS9" s="13"/>
    </row>
    <row r="10" spans="1:97" s="14" customFormat="1" x14ac:dyDescent="0.25">
      <c r="A10" s="304"/>
      <c r="B10" s="303"/>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45"/>
      <c r="AR10" s="245"/>
      <c r="AS10" s="245"/>
      <c r="AT10" s="245"/>
      <c r="AU10" s="245"/>
      <c r="AV10" s="245"/>
      <c r="AW10" s="245"/>
      <c r="AX10" s="12"/>
      <c r="AY10" s="245"/>
      <c r="AZ10" s="9"/>
      <c r="BA10" s="10"/>
      <c r="BB10" s="10"/>
      <c r="BC10" s="10"/>
      <c r="BD10" s="10"/>
      <c r="BE10" s="10"/>
      <c r="BF10" s="12"/>
      <c r="BG10" s="10"/>
      <c r="BH10" s="10"/>
      <c r="BI10" s="10"/>
      <c r="BJ10" s="10"/>
      <c r="BK10" s="10"/>
      <c r="BL10" s="10"/>
      <c r="BM10" s="10"/>
      <c r="BN10" s="12"/>
      <c r="BO10" s="10"/>
      <c r="BP10" s="10"/>
      <c r="BQ10" s="10"/>
      <c r="BR10" s="10"/>
      <c r="BS10" s="10"/>
      <c r="BT10" s="10"/>
      <c r="BU10" s="10"/>
      <c r="BV10" s="12"/>
      <c r="BW10" s="10"/>
      <c r="BX10" s="10"/>
      <c r="BY10" s="10"/>
      <c r="BZ10" s="10"/>
      <c r="CA10" s="10"/>
      <c r="CB10" s="10"/>
      <c r="CC10" s="10"/>
      <c r="CD10" s="12"/>
      <c r="CE10" s="10"/>
      <c r="CF10" s="10"/>
      <c r="CG10" s="10"/>
      <c r="CH10" s="10"/>
      <c r="CI10" s="12"/>
      <c r="CJ10" s="10"/>
      <c r="CK10" s="10"/>
      <c r="CL10" s="12"/>
      <c r="CM10" s="10"/>
      <c r="CN10" s="10"/>
      <c r="CO10" s="10"/>
      <c r="CP10" s="10"/>
      <c r="CQ10" s="12"/>
      <c r="CR10" s="10"/>
      <c r="CS10" s="13"/>
    </row>
    <row r="11" spans="1:97" s="14" customFormat="1" x14ac:dyDescent="0.25">
      <c r="A11" s="304" t="s">
        <v>189</v>
      </c>
      <c r="B11" s="497">
        <v>128</v>
      </c>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45"/>
      <c r="AR11" s="245"/>
      <c r="AS11" s="245"/>
      <c r="AT11" s="245"/>
      <c r="AU11" s="245"/>
      <c r="AV11" s="245"/>
      <c r="AW11" s="245"/>
      <c r="AX11" s="12"/>
      <c r="AY11" s="245"/>
      <c r="AZ11" s="9"/>
      <c r="BA11" s="10"/>
      <c r="BB11" s="10"/>
      <c r="BC11" s="10"/>
      <c r="BD11" s="10"/>
      <c r="BE11" s="10"/>
      <c r="BF11" s="12"/>
      <c r="BG11" s="10"/>
      <c r="BH11" s="10"/>
      <c r="BI11" s="10"/>
      <c r="BJ11" s="10"/>
      <c r="BK11" s="10"/>
      <c r="BL11" s="10"/>
      <c r="BM11" s="10"/>
      <c r="BN11" s="12"/>
      <c r="BO11" s="10"/>
      <c r="BP11" s="10"/>
      <c r="BQ11" s="10"/>
      <c r="BR11" s="10"/>
      <c r="BS11" s="10"/>
      <c r="BT11" s="10"/>
      <c r="BU11" s="10"/>
      <c r="BV11" s="12"/>
      <c r="BW11" s="10"/>
      <c r="BX11" s="10"/>
      <c r="BY11" s="10"/>
      <c r="BZ11" s="10"/>
      <c r="CA11" s="10"/>
      <c r="CB11" s="10"/>
      <c r="CC11" s="10"/>
      <c r="CD11" s="12"/>
      <c r="CE11" s="10"/>
      <c r="CF11" s="10"/>
      <c r="CG11" s="10"/>
      <c r="CH11" s="10"/>
      <c r="CI11" s="12"/>
      <c r="CJ11" s="10"/>
      <c r="CK11" s="10"/>
      <c r="CL11" s="12"/>
      <c r="CM11" s="10"/>
      <c r="CN11" s="10"/>
      <c r="CO11" s="10"/>
      <c r="CP11" s="10"/>
      <c r="CQ11" s="12"/>
      <c r="CR11" s="10"/>
      <c r="CS11" s="13"/>
    </row>
    <row r="12" spans="1:97" s="14" customFormat="1" x14ac:dyDescent="0.25">
      <c r="A12" s="304" t="s">
        <v>119</v>
      </c>
      <c r="B12" s="303">
        <v>26.5</v>
      </c>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45"/>
      <c r="AR12" s="245"/>
      <c r="AS12" s="245"/>
      <c r="AT12" s="245"/>
      <c r="AU12" s="245"/>
      <c r="AV12" s="245"/>
      <c r="AW12" s="245"/>
      <c r="AX12" s="12"/>
      <c r="AY12" s="245"/>
      <c r="AZ12" s="9"/>
      <c r="BA12" s="10"/>
      <c r="BB12" s="10"/>
      <c r="BC12" s="10"/>
      <c r="BD12" s="10"/>
      <c r="BE12" s="10"/>
      <c r="BF12" s="12"/>
      <c r="BG12" s="10"/>
      <c r="BH12" s="10"/>
      <c r="BI12" s="10"/>
      <c r="BJ12" s="10"/>
      <c r="BK12" s="10"/>
      <c r="BL12" s="10"/>
      <c r="BM12" s="10"/>
      <c r="BN12" s="12"/>
      <c r="BO12" s="10"/>
      <c r="BP12" s="10"/>
      <c r="BQ12" s="10"/>
      <c r="BR12" s="10"/>
      <c r="BS12" s="10"/>
      <c r="BT12" s="10"/>
      <c r="BU12" s="10"/>
      <c r="BV12" s="12"/>
      <c r="BW12" s="10"/>
      <c r="BX12" s="10"/>
      <c r="BY12" s="10"/>
      <c r="BZ12" s="10"/>
      <c r="CA12" s="10"/>
      <c r="CB12" s="10"/>
      <c r="CC12" s="10"/>
      <c r="CD12" s="12"/>
      <c r="CE12" s="10"/>
      <c r="CF12" s="10"/>
      <c r="CG12" s="10"/>
      <c r="CH12" s="10"/>
      <c r="CI12" s="12"/>
      <c r="CJ12" s="10"/>
      <c r="CK12" s="10"/>
      <c r="CL12" s="12"/>
      <c r="CM12" s="10"/>
      <c r="CN12" s="10"/>
      <c r="CO12" s="10"/>
      <c r="CP12" s="10"/>
      <c r="CQ12" s="12"/>
      <c r="CR12" s="10"/>
      <c r="CS12" s="13"/>
    </row>
    <row r="13" spans="1:97" s="14" customFormat="1" x14ac:dyDescent="0.25">
      <c r="A13" s="304" t="s">
        <v>120</v>
      </c>
      <c r="B13" s="303">
        <f>B11-B12</f>
        <v>101.5</v>
      </c>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45"/>
      <c r="AR13" s="245"/>
      <c r="AS13" s="245"/>
      <c r="AT13" s="245"/>
      <c r="AU13" s="245"/>
      <c r="AV13" s="245"/>
      <c r="AW13" s="245"/>
      <c r="AX13" s="12"/>
      <c r="AY13" s="245"/>
      <c r="AZ13" s="9"/>
      <c r="BA13" s="10"/>
      <c r="BB13" s="10"/>
      <c r="BC13" s="10"/>
      <c r="BD13" s="10"/>
      <c r="BE13" s="10"/>
      <c r="BF13" s="12"/>
      <c r="BG13" s="10"/>
      <c r="BH13" s="10"/>
      <c r="BI13" s="10"/>
      <c r="BJ13" s="10"/>
      <c r="BK13" s="10"/>
      <c r="BL13" s="10"/>
      <c r="BM13" s="10"/>
      <c r="BN13" s="12"/>
      <c r="BO13" s="10"/>
      <c r="BP13" s="10"/>
      <c r="BQ13" s="10"/>
      <c r="BR13" s="10"/>
      <c r="BS13" s="10"/>
      <c r="BT13" s="10"/>
      <c r="BU13" s="10"/>
      <c r="BV13" s="12"/>
      <c r="BW13" s="10"/>
      <c r="BX13" s="10"/>
      <c r="BY13" s="10"/>
      <c r="BZ13" s="10"/>
      <c r="CA13" s="10"/>
      <c r="CB13" s="10"/>
      <c r="CC13" s="10"/>
      <c r="CD13" s="12"/>
      <c r="CE13" s="10"/>
      <c r="CF13" s="10"/>
      <c r="CG13" s="10"/>
      <c r="CH13" s="10"/>
      <c r="CI13" s="12"/>
      <c r="CJ13" s="10"/>
      <c r="CK13" s="10"/>
      <c r="CL13" s="12"/>
      <c r="CM13" s="10"/>
      <c r="CN13" s="10"/>
      <c r="CO13" s="10"/>
      <c r="CP13" s="10"/>
      <c r="CQ13" s="12"/>
      <c r="CR13" s="10"/>
      <c r="CS13" s="13"/>
    </row>
    <row r="14" spans="1:97" s="14" customFormat="1" x14ac:dyDescent="0.25">
      <c r="A14" s="304"/>
      <c r="B14" s="303"/>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45"/>
      <c r="AR14" s="245"/>
      <c r="AS14" s="245"/>
      <c r="AT14" s="245"/>
      <c r="AU14" s="245"/>
      <c r="AV14" s="245"/>
      <c r="AW14" s="245"/>
      <c r="AX14" s="12"/>
      <c r="AY14" s="245"/>
      <c r="AZ14" s="9"/>
      <c r="BA14" s="10"/>
      <c r="BB14" s="10"/>
      <c r="BC14" s="10"/>
      <c r="BD14" s="10"/>
      <c r="BE14" s="10"/>
      <c r="BF14" s="12"/>
      <c r="BG14" s="10"/>
      <c r="BH14" s="10"/>
      <c r="BI14" s="10"/>
      <c r="BJ14" s="10"/>
      <c r="BK14" s="10"/>
      <c r="BL14" s="10"/>
      <c r="BM14" s="10"/>
      <c r="BN14" s="12"/>
      <c r="BO14" s="10"/>
      <c r="BP14" s="10"/>
      <c r="BQ14" s="10"/>
      <c r="BR14" s="10"/>
      <c r="BS14" s="10"/>
      <c r="BT14" s="10"/>
      <c r="BU14" s="10"/>
      <c r="BV14" s="12"/>
      <c r="BW14" s="10"/>
      <c r="BX14" s="10"/>
      <c r="BY14" s="10"/>
      <c r="BZ14" s="10"/>
      <c r="CA14" s="10"/>
      <c r="CB14" s="10"/>
      <c r="CC14" s="10"/>
      <c r="CD14" s="12"/>
      <c r="CE14" s="10"/>
      <c r="CF14" s="10"/>
      <c r="CG14" s="10"/>
      <c r="CH14" s="10"/>
      <c r="CI14" s="12"/>
      <c r="CJ14" s="10"/>
      <c r="CK14" s="10"/>
      <c r="CL14" s="12"/>
      <c r="CM14" s="10"/>
      <c r="CN14" s="10"/>
      <c r="CO14" s="10"/>
      <c r="CP14" s="10"/>
      <c r="CQ14" s="12"/>
      <c r="CR14" s="10"/>
      <c r="CS14" s="13"/>
    </row>
    <row r="15" spans="1:97" s="14" customFormat="1" ht="15.75" thickBot="1" x14ac:dyDescent="0.3">
      <c r="A15" s="362" t="s">
        <v>116</v>
      </c>
      <c r="B15" s="363">
        <v>72.7</v>
      </c>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2"/>
      <c r="AY15" s="18"/>
      <c r="AZ15" s="9"/>
      <c r="BA15" s="10"/>
      <c r="BB15" s="10"/>
      <c r="BC15" s="10"/>
      <c r="BD15" s="10"/>
      <c r="BE15" s="10"/>
      <c r="BF15" s="12"/>
      <c r="BG15" s="10"/>
      <c r="BH15" s="10"/>
      <c r="BI15" s="10"/>
      <c r="BJ15" s="10"/>
      <c r="BK15" s="10"/>
      <c r="BL15" s="10"/>
      <c r="BM15" s="10"/>
      <c r="BN15" s="12"/>
      <c r="BO15" s="10"/>
      <c r="BP15" s="10"/>
      <c r="BQ15" s="10"/>
      <c r="BR15" s="10"/>
      <c r="BS15" s="10"/>
      <c r="BT15" s="10"/>
      <c r="BU15" s="10"/>
      <c r="BV15" s="12"/>
      <c r="BW15" s="10"/>
      <c r="BX15" s="10"/>
      <c r="BY15" s="10"/>
      <c r="BZ15" s="10"/>
      <c r="CA15" s="10"/>
      <c r="CB15" s="10"/>
      <c r="CC15" s="10"/>
      <c r="CD15" s="12"/>
      <c r="CE15" s="10"/>
      <c r="CF15" s="10"/>
      <c r="CG15" s="10"/>
      <c r="CH15" s="10"/>
      <c r="CI15" s="12"/>
      <c r="CJ15" s="10"/>
      <c r="CK15" s="10"/>
      <c r="CL15" s="12"/>
      <c r="CM15" s="10"/>
      <c r="CN15" s="10"/>
      <c r="CO15" s="10"/>
      <c r="CP15" s="10"/>
      <c r="CQ15" s="12"/>
      <c r="CR15" s="10"/>
      <c r="CS15" s="13"/>
    </row>
    <row r="16" spans="1:97" s="14" customFormat="1" x14ac:dyDescent="0.25">
      <c r="A16" s="5"/>
      <c r="B16" s="496"/>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2"/>
      <c r="AY16" s="18"/>
      <c r="AZ16" s="9"/>
      <c r="BA16" s="10"/>
      <c r="BB16" s="10"/>
      <c r="BC16" s="10"/>
      <c r="BD16" s="10"/>
      <c r="BE16" s="10"/>
      <c r="BF16" s="12"/>
      <c r="BG16" s="10"/>
      <c r="BH16" s="10"/>
      <c r="BI16" s="10"/>
      <c r="BJ16" s="10"/>
      <c r="BK16" s="10"/>
      <c r="BL16" s="10"/>
      <c r="BM16" s="10"/>
      <c r="BN16" s="12"/>
      <c r="BO16" s="10"/>
      <c r="BP16" s="10"/>
      <c r="BQ16" s="10"/>
      <c r="BR16" s="10"/>
      <c r="BS16" s="10"/>
      <c r="BT16" s="10"/>
      <c r="BU16" s="10"/>
      <c r="BV16" s="12"/>
      <c r="BW16" s="10"/>
      <c r="BX16" s="10"/>
      <c r="BY16" s="10"/>
      <c r="BZ16" s="10"/>
      <c r="CA16" s="10"/>
      <c r="CB16" s="10"/>
      <c r="CC16" s="10"/>
      <c r="CD16" s="12"/>
      <c r="CE16" s="10"/>
      <c r="CF16" s="10"/>
      <c r="CG16" s="10"/>
      <c r="CH16" s="10"/>
      <c r="CI16" s="12"/>
      <c r="CJ16" s="10"/>
      <c r="CK16" s="10"/>
      <c r="CL16" s="12"/>
      <c r="CM16" s="10"/>
      <c r="CN16" s="10"/>
      <c r="CO16" s="10"/>
      <c r="CP16" s="10"/>
      <c r="CQ16" s="12"/>
      <c r="CR16" s="10"/>
      <c r="CS16" s="13"/>
    </row>
    <row r="17" spans="1:97" ht="15.75" thickBot="1" x14ac:dyDescent="0.3">
      <c r="A17" s="5"/>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6"/>
      <c r="AY17" s="22"/>
      <c r="AZ17" s="22"/>
      <c r="BA17" s="22"/>
      <c r="BB17" s="22"/>
      <c r="BC17" s="22"/>
      <c r="BD17" s="22"/>
      <c r="BE17" s="22"/>
      <c r="BF17" s="6"/>
      <c r="BG17" s="22"/>
      <c r="BH17" s="22"/>
      <c r="BI17" s="22"/>
      <c r="BJ17" s="22"/>
      <c r="BK17" s="22"/>
      <c r="BL17" s="22"/>
      <c r="BM17" s="22"/>
      <c r="BN17" s="6"/>
      <c r="BO17" s="22"/>
      <c r="BP17" s="22"/>
      <c r="BQ17" s="22"/>
      <c r="BR17" s="22"/>
      <c r="BS17" s="22"/>
      <c r="BT17" s="22"/>
      <c r="BU17" s="22"/>
      <c r="BV17" s="6"/>
      <c r="BW17" s="22"/>
      <c r="BX17" s="22"/>
      <c r="BY17" s="22"/>
      <c r="BZ17" s="22"/>
      <c r="CA17" s="22"/>
      <c r="CB17" s="22"/>
      <c r="CC17" s="22"/>
      <c r="CD17" s="6"/>
      <c r="CE17" s="22"/>
      <c r="CF17" s="22"/>
      <c r="CG17" s="22"/>
      <c r="CH17" s="22"/>
      <c r="CI17" s="22"/>
      <c r="CJ17" s="22"/>
      <c r="CK17" s="22"/>
      <c r="CL17" s="6"/>
      <c r="CM17" s="22"/>
      <c r="CN17" s="22"/>
      <c r="CO17" s="22"/>
      <c r="CP17" s="22"/>
      <c r="CQ17" s="22"/>
      <c r="CR17" s="22"/>
      <c r="CS17" s="23"/>
    </row>
    <row r="18" spans="1:97" ht="15.75" thickBot="1" x14ac:dyDescent="0.3">
      <c r="A18" s="5"/>
      <c r="B18" s="218"/>
      <c r="C18" s="218"/>
      <c r="D18" s="816">
        <v>2021</v>
      </c>
      <c r="E18" s="817"/>
      <c r="F18" s="817"/>
      <c r="G18" s="817"/>
      <c r="H18" s="818"/>
      <c r="I18" s="498"/>
      <c r="J18" s="218"/>
      <c r="K18" s="816">
        <v>2020</v>
      </c>
      <c r="L18" s="817"/>
      <c r="M18" s="817"/>
      <c r="N18" s="817"/>
      <c r="O18" s="817"/>
      <c r="P18" s="817"/>
      <c r="Q18" s="818"/>
      <c r="R18" s="218"/>
      <c r="S18" s="810">
        <v>2019</v>
      </c>
      <c r="T18" s="811"/>
      <c r="U18" s="811"/>
      <c r="V18" s="811"/>
      <c r="W18" s="811"/>
      <c r="X18" s="811"/>
      <c r="Y18" s="812"/>
      <c r="Z18" s="218"/>
      <c r="AA18" s="810">
        <v>2018</v>
      </c>
      <c r="AB18" s="811"/>
      <c r="AC18" s="811"/>
      <c r="AD18" s="811"/>
      <c r="AE18" s="811"/>
      <c r="AF18" s="811"/>
      <c r="AG18" s="812"/>
      <c r="AH18" s="218"/>
      <c r="AI18" s="810">
        <v>2017</v>
      </c>
      <c r="AJ18" s="811"/>
      <c r="AK18" s="811"/>
      <c r="AL18" s="811"/>
      <c r="AM18" s="811"/>
      <c r="AN18" s="811"/>
      <c r="AO18" s="812"/>
      <c r="AP18" s="218"/>
      <c r="AQ18" s="810">
        <v>2016</v>
      </c>
      <c r="AR18" s="811"/>
      <c r="AS18" s="811"/>
      <c r="AT18" s="811"/>
      <c r="AU18" s="811"/>
      <c r="AV18" s="811"/>
      <c r="AW18" s="812"/>
      <c r="AX18" s="6"/>
      <c r="AY18" s="810">
        <v>2015</v>
      </c>
      <c r="AZ18" s="811"/>
      <c r="BA18" s="811"/>
      <c r="BB18" s="811"/>
      <c r="BC18" s="811"/>
      <c r="BD18" s="811"/>
      <c r="BE18" s="812"/>
      <c r="BF18" s="6"/>
      <c r="BG18" s="810">
        <v>2014</v>
      </c>
      <c r="BH18" s="811"/>
      <c r="BI18" s="811"/>
      <c r="BJ18" s="811"/>
      <c r="BK18" s="811"/>
      <c r="BL18" s="811"/>
      <c r="BM18" s="812"/>
      <c r="BN18" s="6"/>
      <c r="BO18" s="810">
        <v>2013</v>
      </c>
      <c r="BP18" s="811"/>
      <c r="BQ18" s="811"/>
      <c r="BR18" s="811"/>
      <c r="BS18" s="811"/>
      <c r="BT18" s="811"/>
      <c r="BU18" s="812"/>
      <c r="BV18" s="6"/>
      <c r="BW18" s="810">
        <v>2012</v>
      </c>
      <c r="BX18" s="811"/>
      <c r="BY18" s="811"/>
      <c r="BZ18" s="811"/>
      <c r="CA18" s="811"/>
      <c r="CB18" s="811"/>
      <c r="CC18" s="812"/>
      <c r="CD18" s="6"/>
      <c r="CE18" s="810">
        <v>2011</v>
      </c>
      <c r="CF18" s="811"/>
      <c r="CG18" s="811"/>
      <c r="CH18" s="811"/>
      <c r="CI18" s="811"/>
      <c r="CJ18" s="811"/>
      <c r="CK18" s="812"/>
      <c r="CL18" s="6"/>
      <c r="CM18" s="810">
        <v>2010</v>
      </c>
      <c r="CN18" s="811"/>
      <c r="CO18" s="811"/>
      <c r="CP18" s="811"/>
      <c r="CQ18" s="811"/>
      <c r="CR18" s="811"/>
      <c r="CS18" s="812"/>
    </row>
    <row r="19" spans="1:97" x14ac:dyDescent="0.25">
      <c r="A19" s="5"/>
      <c r="B19" s="218"/>
      <c r="C19" s="218"/>
      <c r="D19" s="76" t="s">
        <v>3</v>
      </c>
      <c r="E19" s="10" t="s">
        <v>4</v>
      </c>
      <c r="F19" s="10" t="s">
        <v>5</v>
      </c>
      <c r="G19" s="10" t="s">
        <v>6</v>
      </c>
      <c r="H19" s="13" t="s">
        <v>7</v>
      </c>
      <c r="I19" s="10"/>
      <c r="J19" s="218"/>
      <c r="K19" s="76" t="s">
        <v>3</v>
      </c>
      <c r="L19" s="10" t="s">
        <v>4</v>
      </c>
      <c r="M19" s="10" t="s">
        <v>5</v>
      </c>
      <c r="N19" s="10" t="s">
        <v>6</v>
      </c>
      <c r="O19" s="10" t="s">
        <v>7</v>
      </c>
      <c r="P19" s="10" t="s">
        <v>8</v>
      </c>
      <c r="Q19" s="13" t="s">
        <v>9</v>
      </c>
      <c r="R19" s="218"/>
      <c r="S19" s="76" t="s">
        <v>3</v>
      </c>
      <c r="T19" s="10" t="s">
        <v>4</v>
      </c>
      <c r="U19" s="10" t="s">
        <v>5</v>
      </c>
      <c r="V19" s="10" t="s">
        <v>6</v>
      </c>
      <c r="W19" s="10" t="s">
        <v>7</v>
      </c>
      <c r="X19" s="10" t="s">
        <v>8</v>
      </c>
      <c r="Y19" s="13" t="s">
        <v>9</v>
      </c>
      <c r="Z19" s="218"/>
      <c r="AA19" s="76" t="s">
        <v>3</v>
      </c>
      <c r="AB19" s="10" t="s">
        <v>4</v>
      </c>
      <c r="AC19" s="10" t="s">
        <v>5</v>
      </c>
      <c r="AD19" s="10" t="s">
        <v>6</v>
      </c>
      <c r="AE19" s="10" t="s">
        <v>7</v>
      </c>
      <c r="AF19" s="10" t="s">
        <v>8</v>
      </c>
      <c r="AG19" s="13" t="s">
        <v>9</v>
      </c>
      <c r="AH19" s="218"/>
      <c r="AI19" s="76" t="s">
        <v>3</v>
      </c>
      <c r="AJ19" s="10" t="s">
        <v>4</v>
      </c>
      <c r="AK19" s="10" t="s">
        <v>5</v>
      </c>
      <c r="AL19" s="10" t="s">
        <v>6</v>
      </c>
      <c r="AM19" s="10" t="s">
        <v>7</v>
      </c>
      <c r="AN19" s="10" t="s">
        <v>8</v>
      </c>
      <c r="AO19" s="13" t="s">
        <v>9</v>
      </c>
      <c r="AP19" s="218"/>
      <c r="AQ19" s="76" t="s">
        <v>3</v>
      </c>
      <c r="AR19" s="10" t="s">
        <v>4</v>
      </c>
      <c r="AS19" s="10" t="s">
        <v>5</v>
      </c>
      <c r="AT19" s="10" t="s">
        <v>6</v>
      </c>
      <c r="AU19" s="10" t="s">
        <v>7</v>
      </c>
      <c r="AV19" s="10" t="s">
        <v>8</v>
      </c>
      <c r="AW19" s="13" t="s">
        <v>9</v>
      </c>
      <c r="AX19" s="6"/>
      <c r="AY19" s="76" t="s">
        <v>3</v>
      </c>
      <c r="AZ19" s="10" t="s">
        <v>4</v>
      </c>
      <c r="BA19" s="10" t="s">
        <v>5</v>
      </c>
      <c r="BB19" s="10" t="s">
        <v>6</v>
      </c>
      <c r="BC19" s="10" t="s">
        <v>7</v>
      </c>
      <c r="BD19" s="10" t="s">
        <v>8</v>
      </c>
      <c r="BE19" s="13" t="s">
        <v>9</v>
      </c>
      <c r="BF19" s="6"/>
      <c r="BG19" s="76" t="s">
        <v>3</v>
      </c>
      <c r="BH19" s="10" t="s">
        <v>4</v>
      </c>
      <c r="BI19" s="10" t="s">
        <v>5</v>
      </c>
      <c r="BJ19" s="10" t="s">
        <v>6</v>
      </c>
      <c r="BK19" s="10" t="s">
        <v>7</v>
      </c>
      <c r="BL19" s="10" t="s">
        <v>8</v>
      </c>
      <c r="BM19" s="13" t="s">
        <v>9</v>
      </c>
      <c r="BN19" s="6"/>
      <c r="BO19" s="76" t="s">
        <v>3</v>
      </c>
      <c r="BP19" s="10" t="s">
        <v>4</v>
      </c>
      <c r="BQ19" s="10" t="s">
        <v>5</v>
      </c>
      <c r="BR19" s="10" t="s">
        <v>6</v>
      </c>
      <c r="BS19" s="10" t="s">
        <v>7</v>
      </c>
      <c r="BT19" s="10" t="s">
        <v>8</v>
      </c>
      <c r="BU19" s="13" t="s">
        <v>9</v>
      </c>
      <c r="BV19" s="6"/>
      <c r="BW19" s="76" t="s">
        <v>3</v>
      </c>
      <c r="BX19" s="10" t="s">
        <v>4</v>
      </c>
      <c r="BY19" s="10" t="s">
        <v>5</v>
      </c>
      <c r="BZ19" s="10" t="s">
        <v>6</v>
      </c>
      <c r="CA19" s="10" t="s">
        <v>7</v>
      </c>
      <c r="CB19" s="10" t="s">
        <v>8</v>
      </c>
      <c r="CC19" s="13" t="s">
        <v>9</v>
      </c>
      <c r="CD19" s="6"/>
      <c r="CE19" s="76" t="s">
        <v>3</v>
      </c>
      <c r="CF19" s="10" t="s">
        <v>4</v>
      </c>
      <c r="CG19" s="10" t="s">
        <v>5</v>
      </c>
      <c r="CH19" s="10" t="s">
        <v>6</v>
      </c>
      <c r="CI19" s="10" t="s">
        <v>7</v>
      </c>
      <c r="CJ19" s="10" t="s">
        <v>8</v>
      </c>
      <c r="CK19" s="13" t="s">
        <v>9</v>
      </c>
      <c r="CL19" s="6"/>
      <c r="CM19" s="76" t="s">
        <v>3</v>
      </c>
      <c r="CN19" s="10" t="s">
        <v>4</v>
      </c>
      <c r="CO19" s="10" t="s">
        <v>5</v>
      </c>
      <c r="CP19" s="10" t="s">
        <v>6</v>
      </c>
      <c r="CQ19" s="10" t="s">
        <v>7</v>
      </c>
      <c r="CR19" s="10" t="s">
        <v>8</v>
      </c>
      <c r="CS19" s="13" t="s">
        <v>9</v>
      </c>
    </row>
    <row r="20" spans="1:97" x14ac:dyDescent="0.25">
      <c r="A20" s="5"/>
      <c r="B20" s="218"/>
      <c r="C20" s="218"/>
      <c r="D20" s="24"/>
      <c r="E20" s="405"/>
      <c r="F20" s="405"/>
      <c r="G20" s="405"/>
      <c r="H20" s="23"/>
      <c r="I20" s="405"/>
      <c r="J20" s="218"/>
      <c r="K20" s="24"/>
      <c r="L20" s="405"/>
      <c r="M20" s="405"/>
      <c r="N20" s="405"/>
      <c r="O20" s="405"/>
      <c r="P20" s="405"/>
      <c r="Q20" s="23"/>
      <c r="R20" s="218"/>
      <c r="S20" s="24"/>
      <c r="T20" s="22"/>
      <c r="U20" s="22"/>
      <c r="V20" s="22"/>
      <c r="W20" s="22"/>
      <c r="X20" s="22"/>
      <c r="Y20" s="23"/>
      <c r="Z20" s="218"/>
      <c r="AA20" s="24"/>
      <c r="AB20" s="22"/>
      <c r="AC20" s="22"/>
      <c r="AD20" s="22"/>
      <c r="AE20" s="22"/>
      <c r="AF20" s="22"/>
      <c r="AG20" s="23"/>
      <c r="AH20" s="218"/>
      <c r="AI20" s="24"/>
      <c r="AJ20" s="22"/>
      <c r="AK20" s="22"/>
      <c r="AL20" s="22"/>
      <c r="AM20" s="22"/>
      <c r="AN20" s="22"/>
      <c r="AO20" s="23"/>
      <c r="AP20" s="218"/>
      <c r="AQ20" s="24"/>
      <c r="AR20" s="22"/>
      <c r="AS20" s="22"/>
      <c r="AT20" s="22"/>
      <c r="AU20" s="22"/>
      <c r="AV20" s="22"/>
      <c r="AW20" s="23"/>
      <c r="AX20" s="6"/>
      <c r="AY20" s="24"/>
      <c r="AZ20" s="22"/>
      <c r="BA20" s="22"/>
      <c r="BB20" s="22"/>
      <c r="BC20" s="22"/>
      <c r="BD20" s="22"/>
      <c r="BE20" s="23"/>
      <c r="BF20" s="6"/>
      <c r="BG20" s="24"/>
      <c r="BH20" s="22"/>
      <c r="BI20" s="22"/>
      <c r="BJ20" s="22"/>
      <c r="BK20" s="22"/>
      <c r="BL20" s="22"/>
      <c r="BM20" s="23"/>
      <c r="BN20" s="6"/>
      <c r="BO20" s="24"/>
      <c r="BP20" s="22"/>
      <c r="BQ20" s="22"/>
      <c r="BR20" s="22"/>
      <c r="BS20" s="22"/>
      <c r="BT20" s="22"/>
      <c r="BU20" s="23"/>
      <c r="BV20" s="6"/>
      <c r="BW20" s="24"/>
      <c r="BX20" s="22"/>
      <c r="BY20" s="22"/>
      <c r="BZ20" s="22"/>
      <c r="CA20" s="22"/>
      <c r="CB20" s="22"/>
      <c r="CC20" s="23"/>
      <c r="CD20" s="6"/>
      <c r="CE20" s="24"/>
      <c r="CF20" s="22"/>
      <c r="CG20" s="22"/>
      <c r="CH20" s="22"/>
      <c r="CI20" s="22"/>
      <c r="CJ20" s="22"/>
      <c r="CK20" s="23"/>
      <c r="CL20" s="6"/>
      <c r="CM20" s="24"/>
      <c r="CN20" s="22"/>
      <c r="CO20" s="22"/>
      <c r="CP20" s="22"/>
      <c r="CQ20" s="22"/>
      <c r="CR20" s="22"/>
      <c r="CS20" s="23"/>
    </row>
    <row r="21" spans="1:97" s="14" customFormat="1" x14ac:dyDescent="0.25">
      <c r="A21" s="16" t="s">
        <v>10</v>
      </c>
      <c r="B21" s="218"/>
      <c r="C21" s="218"/>
      <c r="D21" s="25">
        <v>31478</v>
      </c>
      <c r="E21" s="406">
        <v>33448</v>
      </c>
      <c r="F21" s="406">
        <v>64926</v>
      </c>
      <c r="G21" s="406">
        <f>H21-F21</f>
        <v>10827</v>
      </c>
      <c r="H21" s="21">
        <v>75753</v>
      </c>
      <c r="I21" s="406"/>
      <c r="J21" s="218"/>
      <c r="K21" s="25">
        <v>24960</v>
      </c>
      <c r="L21" s="406">
        <v>24453</v>
      </c>
      <c r="M21" s="406">
        <v>49413</v>
      </c>
      <c r="N21" s="406">
        <v>31186</v>
      </c>
      <c r="O21" s="406">
        <v>80599</v>
      </c>
      <c r="P21" s="406">
        <v>32516</v>
      </c>
      <c r="Q21" s="21">
        <v>113115</v>
      </c>
      <c r="R21" s="218"/>
      <c r="S21" s="25">
        <v>22204</v>
      </c>
      <c r="T21" s="20">
        <v>20633</v>
      </c>
      <c r="U21" s="20">
        <v>42837</v>
      </c>
      <c r="V21" s="20">
        <v>24729</v>
      </c>
      <c r="W21" s="20">
        <v>67566</v>
      </c>
      <c r="X21" s="20">
        <v>28598</v>
      </c>
      <c r="Y21" s="21">
        <v>96164</v>
      </c>
      <c r="Z21" s="218"/>
      <c r="AA21" s="25">
        <v>23453</v>
      </c>
      <c r="AB21" s="20">
        <v>20416</v>
      </c>
      <c r="AC21" s="20">
        <v>43869</v>
      </c>
      <c r="AD21" s="20">
        <v>17872</v>
      </c>
      <c r="AE21" s="20">
        <v>61741</v>
      </c>
      <c r="AF21" s="20">
        <v>20917</v>
      </c>
      <c r="AG21" s="21">
        <v>82658</v>
      </c>
      <c r="AH21" s="218"/>
      <c r="AI21" s="25">
        <v>27978</v>
      </c>
      <c r="AJ21" s="20">
        <v>19607</v>
      </c>
      <c r="AK21" s="20">
        <v>47585</v>
      </c>
      <c r="AL21" s="20">
        <v>18423</v>
      </c>
      <c r="AM21" s="20">
        <v>66008</v>
      </c>
      <c r="AN21" s="20">
        <v>25948</v>
      </c>
      <c r="AO21" s="21">
        <v>91956</v>
      </c>
      <c r="AP21" s="218"/>
      <c r="AQ21" s="25">
        <v>29000</v>
      </c>
      <c r="AR21" s="20">
        <v>21903</v>
      </c>
      <c r="AS21" s="20">
        <v>50903</v>
      </c>
      <c r="AT21" s="20">
        <v>23810</v>
      </c>
      <c r="AU21" s="20">
        <v>74713</v>
      </c>
      <c r="AV21" s="20">
        <v>29098</v>
      </c>
      <c r="AW21" s="21">
        <v>103811</v>
      </c>
      <c r="AX21" s="26"/>
      <c r="AY21" s="25">
        <v>25853</v>
      </c>
      <c r="AZ21" s="20">
        <v>24756</v>
      </c>
      <c r="BA21" s="20">
        <v>50609</v>
      </c>
      <c r="BB21" s="20">
        <v>23404</v>
      </c>
      <c r="BC21" s="20">
        <v>74013</v>
      </c>
      <c r="BD21" s="20">
        <v>27132</v>
      </c>
      <c r="BE21" s="21">
        <v>101145</v>
      </c>
      <c r="BF21" s="26"/>
      <c r="BG21" s="25">
        <v>28895</v>
      </c>
      <c r="BH21" s="20">
        <v>18957</v>
      </c>
      <c r="BI21" s="20">
        <v>47852</v>
      </c>
      <c r="BJ21" s="20">
        <v>19916</v>
      </c>
      <c r="BK21" s="20">
        <v>67768</v>
      </c>
      <c r="BL21" s="20">
        <v>22381</v>
      </c>
      <c r="BM21" s="21">
        <v>90149</v>
      </c>
      <c r="BN21" s="26"/>
      <c r="BO21" s="25">
        <v>29732</v>
      </c>
      <c r="BP21" s="20">
        <v>31854</v>
      </c>
      <c r="BQ21" s="20">
        <v>61586</v>
      </c>
      <c r="BR21" s="20">
        <v>35242</v>
      </c>
      <c r="BS21" s="20">
        <v>96828</v>
      </c>
      <c r="BT21" s="20">
        <v>29713</v>
      </c>
      <c r="BU21" s="21">
        <v>126541</v>
      </c>
      <c r="BV21" s="26"/>
      <c r="BW21" s="25">
        <v>21151</v>
      </c>
      <c r="BX21" s="20">
        <v>22464</v>
      </c>
      <c r="BY21" s="20">
        <v>43615</v>
      </c>
      <c r="BZ21" s="20">
        <v>23385</v>
      </c>
      <c r="CA21" s="20">
        <v>67000</v>
      </c>
      <c r="CB21" s="20">
        <v>24622</v>
      </c>
      <c r="CC21" s="21">
        <v>91622</v>
      </c>
      <c r="CD21" s="26"/>
      <c r="CE21" s="25">
        <v>20203</v>
      </c>
      <c r="CF21" s="20">
        <v>18622</v>
      </c>
      <c r="CG21" s="20">
        <v>38825</v>
      </c>
      <c r="CH21" s="20">
        <v>21786</v>
      </c>
      <c r="CI21" s="20">
        <v>60611</v>
      </c>
      <c r="CJ21" s="20">
        <v>21611</v>
      </c>
      <c r="CK21" s="21">
        <v>82222</v>
      </c>
      <c r="CL21" s="26"/>
      <c r="CM21" s="25">
        <v>0</v>
      </c>
      <c r="CN21" s="20">
        <v>13579</v>
      </c>
      <c r="CO21" s="20">
        <v>13579</v>
      </c>
      <c r="CP21" s="20">
        <v>18475</v>
      </c>
      <c r="CQ21" s="20">
        <v>32054</v>
      </c>
      <c r="CR21" s="20">
        <v>16912</v>
      </c>
      <c r="CS21" s="21">
        <v>48966</v>
      </c>
    </row>
    <row r="22" spans="1:97" s="194" customFormat="1" x14ac:dyDescent="0.25">
      <c r="A22" s="16" t="s">
        <v>11</v>
      </c>
      <c r="B22" s="289"/>
      <c r="C22" s="289"/>
      <c r="D22" s="291">
        <v>22582</v>
      </c>
      <c r="E22" s="407">
        <v>24568</v>
      </c>
      <c r="F22" s="407">
        <v>47150</v>
      </c>
      <c r="G22" s="407">
        <f t="shared" ref="G22:G33" si="0">H22-F22</f>
        <v>8474</v>
      </c>
      <c r="H22" s="292">
        <v>55624</v>
      </c>
      <c r="I22" s="407"/>
      <c r="J22" s="289"/>
      <c r="K22" s="291">
        <v>18353</v>
      </c>
      <c r="L22" s="407">
        <v>18113</v>
      </c>
      <c r="M22" s="407">
        <v>36466</v>
      </c>
      <c r="N22" s="407">
        <v>23075</v>
      </c>
      <c r="O22" s="407">
        <v>59541</v>
      </c>
      <c r="P22" s="407">
        <v>24596</v>
      </c>
      <c r="Q22" s="292">
        <v>84137</v>
      </c>
      <c r="R22" s="289"/>
      <c r="S22" s="291">
        <v>17784</v>
      </c>
      <c r="T22" s="290">
        <v>15983</v>
      </c>
      <c r="U22" s="290">
        <v>33767</v>
      </c>
      <c r="V22" s="290">
        <v>19031</v>
      </c>
      <c r="W22" s="290">
        <v>52798</v>
      </c>
      <c r="X22" s="290">
        <v>22360</v>
      </c>
      <c r="Y22" s="292">
        <v>75158</v>
      </c>
      <c r="Z22" s="289"/>
      <c r="AA22" s="291">
        <v>17204</v>
      </c>
      <c r="AB22" s="290">
        <v>15397</v>
      </c>
      <c r="AC22" s="290">
        <v>32601</v>
      </c>
      <c r="AD22" s="290">
        <v>13810</v>
      </c>
      <c r="AE22" s="290">
        <v>46411</v>
      </c>
      <c r="AF22" s="290">
        <v>16613</v>
      </c>
      <c r="AG22" s="292">
        <v>63024</v>
      </c>
      <c r="AH22" s="289"/>
      <c r="AI22" s="291">
        <v>20138</v>
      </c>
      <c r="AJ22" s="290">
        <v>13993</v>
      </c>
      <c r="AK22" s="290">
        <v>34131</v>
      </c>
      <c r="AL22" s="290">
        <v>13026</v>
      </c>
      <c r="AM22" s="290">
        <v>47157</v>
      </c>
      <c r="AN22" s="290">
        <v>19154</v>
      </c>
      <c r="AO22" s="292">
        <v>66311</v>
      </c>
      <c r="AP22" s="289"/>
      <c r="AQ22" s="291">
        <v>19699</v>
      </c>
      <c r="AR22" s="290">
        <v>15818</v>
      </c>
      <c r="AS22" s="290">
        <v>35517</v>
      </c>
      <c r="AT22" s="290">
        <v>17680</v>
      </c>
      <c r="AU22" s="290">
        <v>53197</v>
      </c>
      <c r="AV22" s="290">
        <v>21108</v>
      </c>
      <c r="AW22" s="292">
        <v>74305</v>
      </c>
      <c r="AX22" s="165"/>
      <c r="AY22" s="291">
        <v>20083</v>
      </c>
      <c r="AZ22" s="290">
        <v>18172</v>
      </c>
      <c r="BA22" s="290">
        <v>38255</v>
      </c>
      <c r="BB22" s="290">
        <v>16207</v>
      </c>
      <c r="BC22" s="290">
        <v>54462</v>
      </c>
      <c r="BD22" s="290">
        <v>19472</v>
      </c>
      <c r="BE22" s="292">
        <v>73934</v>
      </c>
      <c r="BF22" s="165"/>
      <c r="BG22" s="291">
        <v>22895</v>
      </c>
      <c r="BH22" s="290">
        <v>17189</v>
      </c>
      <c r="BI22" s="290">
        <v>40084</v>
      </c>
      <c r="BJ22" s="290">
        <v>17757</v>
      </c>
      <c r="BK22" s="290">
        <v>57841</v>
      </c>
      <c r="BL22" s="290">
        <v>19049</v>
      </c>
      <c r="BM22" s="292">
        <v>76890</v>
      </c>
      <c r="BN22" s="165"/>
      <c r="BO22" s="291">
        <v>22099</v>
      </c>
      <c r="BP22" s="290">
        <v>23995</v>
      </c>
      <c r="BQ22" s="290">
        <v>46094</v>
      </c>
      <c r="BR22" s="290">
        <v>26496</v>
      </c>
      <c r="BS22" s="290">
        <v>72590</v>
      </c>
      <c r="BT22" s="290">
        <v>23276</v>
      </c>
      <c r="BU22" s="292">
        <v>95866</v>
      </c>
      <c r="BV22" s="165"/>
      <c r="BW22" s="291">
        <v>16105</v>
      </c>
      <c r="BX22" s="290">
        <v>16707</v>
      </c>
      <c r="BY22" s="290">
        <v>32812</v>
      </c>
      <c r="BZ22" s="290">
        <v>17109</v>
      </c>
      <c r="CA22" s="290">
        <v>49921</v>
      </c>
      <c r="CB22" s="290">
        <v>18129</v>
      </c>
      <c r="CC22" s="292">
        <v>68050</v>
      </c>
      <c r="CD22" s="165"/>
      <c r="CE22" s="291">
        <v>15174</v>
      </c>
      <c r="CF22" s="290">
        <v>13758</v>
      </c>
      <c r="CG22" s="290">
        <v>28932</v>
      </c>
      <c r="CH22" s="290">
        <v>16364</v>
      </c>
      <c r="CI22" s="290">
        <v>45296</v>
      </c>
      <c r="CJ22" s="290">
        <v>16267</v>
      </c>
      <c r="CK22" s="292">
        <v>61563</v>
      </c>
      <c r="CL22" s="165"/>
      <c r="CM22" s="291">
        <v>0</v>
      </c>
      <c r="CN22" s="290">
        <v>10185</v>
      </c>
      <c r="CO22" s="290">
        <v>10185</v>
      </c>
      <c r="CP22" s="290">
        <v>14435</v>
      </c>
      <c r="CQ22" s="290">
        <v>24620</v>
      </c>
      <c r="CR22" s="290">
        <v>13075</v>
      </c>
      <c r="CS22" s="292">
        <v>37695</v>
      </c>
    </row>
    <row r="23" spans="1:97" s="14" customFormat="1" x14ac:dyDescent="0.25">
      <c r="A23" s="16" t="s">
        <v>12</v>
      </c>
      <c r="B23" s="218"/>
      <c r="C23" s="218"/>
      <c r="D23" s="25">
        <v>8896</v>
      </c>
      <c r="E23" s="406">
        <v>8880</v>
      </c>
      <c r="F23" s="406">
        <v>17776</v>
      </c>
      <c r="G23" s="406">
        <f t="shared" si="0"/>
        <v>2353</v>
      </c>
      <c r="H23" s="21">
        <f>H21-H22</f>
        <v>20129</v>
      </c>
      <c r="I23" s="406"/>
      <c r="J23" s="218"/>
      <c r="K23" s="25">
        <v>6607</v>
      </c>
      <c r="L23" s="406">
        <v>6340</v>
      </c>
      <c r="M23" s="406">
        <v>12947</v>
      </c>
      <c r="N23" s="406">
        <v>8111</v>
      </c>
      <c r="O23" s="406">
        <v>21058</v>
      </c>
      <c r="P23" s="406">
        <v>7920</v>
      </c>
      <c r="Q23" s="21">
        <v>28978</v>
      </c>
      <c r="R23" s="218"/>
      <c r="S23" s="25">
        <v>4420</v>
      </c>
      <c r="T23" s="20">
        <v>4650</v>
      </c>
      <c r="U23" s="20">
        <v>9070</v>
      </c>
      <c r="V23" s="20">
        <v>5698</v>
      </c>
      <c r="W23" s="20">
        <v>14768</v>
      </c>
      <c r="X23" s="20">
        <v>6238</v>
      </c>
      <c r="Y23" s="21">
        <v>21006</v>
      </c>
      <c r="Z23" s="218"/>
      <c r="AA23" s="25">
        <v>6249</v>
      </c>
      <c r="AB23" s="20">
        <v>5019</v>
      </c>
      <c r="AC23" s="20">
        <v>11268</v>
      </c>
      <c r="AD23" s="20">
        <v>4062</v>
      </c>
      <c r="AE23" s="20">
        <v>15330</v>
      </c>
      <c r="AF23" s="20">
        <v>4304</v>
      </c>
      <c r="AG23" s="21">
        <v>19634</v>
      </c>
      <c r="AH23" s="218"/>
      <c r="AI23" s="25">
        <v>7840</v>
      </c>
      <c r="AJ23" s="20">
        <v>5614</v>
      </c>
      <c r="AK23" s="20">
        <v>13454</v>
      </c>
      <c r="AL23" s="20">
        <v>5397</v>
      </c>
      <c r="AM23" s="20">
        <v>18851</v>
      </c>
      <c r="AN23" s="20">
        <v>6794</v>
      </c>
      <c r="AO23" s="21">
        <v>25645</v>
      </c>
      <c r="AP23" s="218"/>
      <c r="AQ23" s="25">
        <v>9301</v>
      </c>
      <c r="AR23" s="20">
        <v>6085</v>
      </c>
      <c r="AS23" s="20">
        <v>15386</v>
      </c>
      <c r="AT23" s="20">
        <v>6130</v>
      </c>
      <c r="AU23" s="20">
        <v>21516</v>
      </c>
      <c r="AV23" s="20">
        <v>7990</v>
      </c>
      <c r="AW23" s="21">
        <v>29506</v>
      </c>
      <c r="AX23" s="26"/>
      <c r="AY23" s="25">
        <v>5770</v>
      </c>
      <c r="AZ23" s="20">
        <v>6584</v>
      </c>
      <c r="BA23" s="20">
        <v>12354</v>
      </c>
      <c r="BB23" s="20">
        <v>7197</v>
      </c>
      <c r="BC23" s="20">
        <v>19551</v>
      </c>
      <c r="BD23" s="20">
        <v>7660</v>
      </c>
      <c r="BE23" s="21">
        <v>27211</v>
      </c>
      <c r="BF23" s="26"/>
      <c r="BG23" s="25">
        <v>6000</v>
      </c>
      <c r="BH23" s="20">
        <v>1768</v>
      </c>
      <c r="BI23" s="20">
        <v>7768</v>
      </c>
      <c r="BJ23" s="20">
        <v>2159</v>
      </c>
      <c r="BK23" s="20">
        <v>9927</v>
      </c>
      <c r="BL23" s="20">
        <v>3332</v>
      </c>
      <c r="BM23" s="21">
        <v>13259</v>
      </c>
      <c r="BN23" s="26"/>
      <c r="BO23" s="25">
        <v>7633</v>
      </c>
      <c r="BP23" s="20">
        <v>7859</v>
      </c>
      <c r="BQ23" s="20">
        <v>15492</v>
      </c>
      <c r="BR23" s="20">
        <v>8746</v>
      </c>
      <c r="BS23" s="20">
        <v>24238</v>
      </c>
      <c r="BT23" s="20">
        <v>6437</v>
      </c>
      <c r="BU23" s="21">
        <v>30675</v>
      </c>
      <c r="BV23" s="26"/>
      <c r="BW23" s="25">
        <v>5046</v>
      </c>
      <c r="BX23" s="20">
        <v>5757</v>
      </c>
      <c r="BY23" s="20">
        <v>10803</v>
      </c>
      <c r="BZ23" s="20">
        <v>6276</v>
      </c>
      <c r="CA23" s="20">
        <v>17079</v>
      </c>
      <c r="CB23" s="20">
        <v>6493</v>
      </c>
      <c r="CC23" s="21">
        <v>23572</v>
      </c>
      <c r="CD23" s="26"/>
      <c r="CE23" s="25">
        <v>5029</v>
      </c>
      <c r="CF23" s="20">
        <v>4864</v>
      </c>
      <c r="CG23" s="20">
        <v>9893</v>
      </c>
      <c r="CH23" s="20">
        <v>5422</v>
      </c>
      <c r="CI23" s="20">
        <v>15315</v>
      </c>
      <c r="CJ23" s="20">
        <v>5344</v>
      </c>
      <c r="CK23" s="21">
        <v>20659</v>
      </c>
      <c r="CL23" s="26"/>
      <c r="CM23" s="25">
        <v>0</v>
      </c>
      <c r="CN23" s="20">
        <v>3394</v>
      </c>
      <c r="CO23" s="20">
        <v>3394</v>
      </c>
      <c r="CP23" s="20">
        <v>4040</v>
      </c>
      <c r="CQ23" s="20">
        <v>7434</v>
      </c>
      <c r="CR23" s="20">
        <v>3837</v>
      </c>
      <c r="CS23" s="21">
        <v>11271</v>
      </c>
    </row>
    <row r="24" spans="1:97" ht="15" customHeight="1" outlineLevel="1" x14ac:dyDescent="0.25">
      <c r="A24" s="5" t="s">
        <v>13</v>
      </c>
      <c r="B24" s="218"/>
      <c r="C24" s="218"/>
      <c r="D24" s="27">
        <v>3141</v>
      </c>
      <c r="E24" s="408">
        <v>2852</v>
      </c>
      <c r="F24" s="408">
        <v>5993</v>
      </c>
      <c r="G24" s="408">
        <f t="shared" si="0"/>
        <v>5537</v>
      </c>
      <c r="H24" s="29">
        <v>11530</v>
      </c>
      <c r="I24" s="408"/>
      <c r="J24" s="218"/>
      <c r="K24" s="27">
        <v>3337</v>
      </c>
      <c r="L24" s="408">
        <v>2815</v>
      </c>
      <c r="M24" s="405">
        <v>6152</v>
      </c>
      <c r="N24" s="408">
        <v>2250</v>
      </c>
      <c r="O24" s="405">
        <v>8402</v>
      </c>
      <c r="P24" s="408">
        <v>3250</v>
      </c>
      <c r="Q24" s="23">
        <v>11652</v>
      </c>
      <c r="R24" s="218"/>
      <c r="S24" s="27">
        <v>2862</v>
      </c>
      <c r="T24" s="28">
        <v>2849</v>
      </c>
      <c r="U24" s="22">
        <v>5711</v>
      </c>
      <c r="V24" s="28">
        <v>2847</v>
      </c>
      <c r="W24" s="22">
        <v>8558</v>
      </c>
      <c r="X24" s="28">
        <v>3399</v>
      </c>
      <c r="Y24" s="23">
        <v>11957</v>
      </c>
      <c r="Z24" s="218"/>
      <c r="AA24" s="27">
        <v>3291</v>
      </c>
      <c r="AB24" s="28">
        <v>3265</v>
      </c>
      <c r="AC24" s="22">
        <v>6556</v>
      </c>
      <c r="AD24" s="28">
        <v>3452</v>
      </c>
      <c r="AE24" s="22">
        <v>10008</v>
      </c>
      <c r="AF24" s="28">
        <v>3150</v>
      </c>
      <c r="AG24" s="23">
        <v>13158</v>
      </c>
      <c r="AH24" s="218"/>
      <c r="AI24" s="27">
        <v>4979</v>
      </c>
      <c r="AJ24" s="28">
        <v>3101</v>
      </c>
      <c r="AK24" s="22">
        <v>8080</v>
      </c>
      <c r="AL24" s="28">
        <v>3204</v>
      </c>
      <c r="AM24" s="22">
        <v>11284</v>
      </c>
      <c r="AN24" s="28">
        <v>4076</v>
      </c>
      <c r="AO24" s="23">
        <v>15360</v>
      </c>
      <c r="AP24" s="218"/>
      <c r="AQ24" s="27">
        <v>4071</v>
      </c>
      <c r="AR24" s="28">
        <v>3080</v>
      </c>
      <c r="AS24" s="22">
        <v>7151</v>
      </c>
      <c r="AT24" s="28">
        <v>3332</v>
      </c>
      <c r="AU24" s="22">
        <v>10483</v>
      </c>
      <c r="AV24" s="28">
        <v>4253</v>
      </c>
      <c r="AW24" s="23">
        <v>14736</v>
      </c>
      <c r="AX24" s="26"/>
      <c r="AY24" s="27">
        <v>3261</v>
      </c>
      <c r="AZ24" s="28">
        <v>3431</v>
      </c>
      <c r="BA24" s="22">
        <v>6692</v>
      </c>
      <c r="BB24" s="28">
        <v>3263</v>
      </c>
      <c r="BC24" s="22">
        <v>9955</v>
      </c>
      <c r="BD24" s="28">
        <v>3126</v>
      </c>
      <c r="BE24" s="23">
        <v>13081</v>
      </c>
      <c r="BF24" s="26"/>
      <c r="BG24" s="27">
        <v>3210</v>
      </c>
      <c r="BH24" s="28">
        <v>2918</v>
      </c>
      <c r="BI24" s="22">
        <v>6128</v>
      </c>
      <c r="BJ24" s="28">
        <v>2746</v>
      </c>
      <c r="BK24" s="22">
        <v>8874</v>
      </c>
      <c r="BL24" s="28">
        <v>2715</v>
      </c>
      <c r="BM24" s="23">
        <v>11589</v>
      </c>
      <c r="BN24" s="26"/>
      <c r="BO24" s="27">
        <v>3421</v>
      </c>
      <c r="BP24" s="28">
        <v>3460</v>
      </c>
      <c r="BQ24" s="22">
        <v>6881</v>
      </c>
      <c r="BR24" s="28">
        <v>3442</v>
      </c>
      <c r="BS24" s="22">
        <v>10323</v>
      </c>
      <c r="BT24" s="28">
        <v>3300</v>
      </c>
      <c r="BU24" s="23">
        <v>13623</v>
      </c>
      <c r="BV24" s="26"/>
      <c r="BW24" s="27">
        <v>3052</v>
      </c>
      <c r="BX24" s="28">
        <v>2760</v>
      </c>
      <c r="BY24" s="22">
        <v>5812</v>
      </c>
      <c r="BZ24" s="28">
        <v>2870</v>
      </c>
      <c r="CA24" s="22">
        <v>8682</v>
      </c>
      <c r="CB24" s="28">
        <v>3421</v>
      </c>
      <c r="CC24" s="23">
        <v>12103</v>
      </c>
      <c r="CD24" s="26"/>
      <c r="CE24" s="27">
        <v>2714</v>
      </c>
      <c r="CF24" s="28">
        <v>2427</v>
      </c>
      <c r="CG24" s="22">
        <v>5141</v>
      </c>
      <c r="CH24" s="28">
        <v>2546</v>
      </c>
      <c r="CI24" s="22">
        <v>7687</v>
      </c>
      <c r="CJ24" s="28">
        <v>2958</v>
      </c>
      <c r="CK24" s="23">
        <v>10645</v>
      </c>
      <c r="CL24" s="26"/>
      <c r="CM24" s="27">
        <v>1450</v>
      </c>
      <c r="CN24" s="28">
        <v>2148</v>
      </c>
      <c r="CO24" s="22">
        <v>3598</v>
      </c>
      <c r="CP24" s="28">
        <v>2241</v>
      </c>
      <c r="CQ24" s="22">
        <v>5839</v>
      </c>
      <c r="CR24" s="28">
        <v>1985</v>
      </c>
      <c r="CS24" s="23">
        <v>7824</v>
      </c>
    </row>
    <row r="25" spans="1:97" ht="15" customHeight="1" outlineLevel="1" x14ac:dyDescent="0.25">
      <c r="A25" s="5" t="s">
        <v>14</v>
      </c>
      <c r="B25" s="218"/>
      <c r="C25" s="218"/>
      <c r="D25" s="27">
        <v>125</v>
      </c>
      <c r="E25" s="408">
        <v>125</v>
      </c>
      <c r="F25" s="408">
        <v>250</v>
      </c>
      <c r="G25" s="408">
        <f t="shared" si="0"/>
        <v>44</v>
      </c>
      <c r="H25" s="29">
        <v>294</v>
      </c>
      <c r="I25" s="408"/>
      <c r="J25" s="218"/>
      <c r="K25" s="27">
        <v>125</v>
      </c>
      <c r="L25" s="408">
        <v>125</v>
      </c>
      <c r="M25" s="405">
        <v>250</v>
      </c>
      <c r="N25" s="408">
        <v>125</v>
      </c>
      <c r="O25" s="405">
        <v>375</v>
      </c>
      <c r="P25" s="408">
        <v>125</v>
      </c>
      <c r="Q25" s="23">
        <v>500</v>
      </c>
      <c r="R25" s="218"/>
      <c r="S25" s="27">
        <v>125</v>
      </c>
      <c r="T25" s="28">
        <v>125</v>
      </c>
      <c r="U25" s="22">
        <v>250</v>
      </c>
      <c r="V25" s="28">
        <v>125</v>
      </c>
      <c r="W25" s="22">
        <v>375</v>
      </c>
      <c r="X25" s="28">
        <v>125</v>
      </c>
      <c r="Y25" s="23">
        <v>500</v>
      </c>
      <c r="Z25" s="218"/>
      <c r="AA25" s="27">
        <v>125</v>
      </c>
      <c r="AB25" s="28">
        <v>125</v>
      </c>
      <c r="AC25" s="22">
        <v>250</v>
      </c>
      <c r="AD25" s="28">
        <v>125</v>
      </c>
      <c r="AE25" s="22">
        <v>375</v>
      </c>
      <c r="AF25" s="28">
        <v>125</v>
      </c>
      <c r="AG25" s="23">
        <v>500</v>
      </c>
      <c r="AH25" s="218"/>
      <c r="AI25" s="27">
        <v>125</v>
      </c>
      <c r="AJ25" s="28">
        <v>125</v>
      </c>
      <c r="AK25" s="22">
        <v>250</v>
      </c>
      <c r="AL25" s="28">
        <v>125</v>
      </c>
      <c r="AM25" s="22">
        <v>375</v>
      </c>
      <c r="AN25" s="28">
        <v>125</v>
      </c>
      <c r="AO25" s="23">
        <v>500</v>
      </c>
      <c r="AP25" s="218"/>
      <c r="AQ25" s="27">
        <v>125</v>
      </c>
      <c r="AR25" s="28">
        <v>125</v>
      </c>
      <c r="AS25" s="22">
        <v>250</v>
      </c>
      <c r="AT25" s="28">
        <v>125</v>
      </c>
      <c r="AU25" s="22">
        <v>375</v>
      </c>
      <c r="AV25" s="28">
        <v>125</v>
      </c>
      <c r="AW25" s="23">
        <v>500</v>
      </c>
      <c r="AX25" s="26"/>
      <c r="AY25" s="27">
        <v>125</v>
      </c>
      <c r="AZ25" s="28">
        <v>125</v>
      </c>
      <c r="BA25" s="22">
        <v>250</v>
      </c>
      <c r="BB25" s="28">
        <v>125</v>
      </c>
      <c r="BC25" s="22">
        <v>375</v>
      </c>
      <c r="BD25" s="28">
        <v>125</v>
      </c>
      <c r="BE25" s="23">
        <v>500</v>
      </c>
      <c r="BF25" s="26"/>
      <c r="BG25" s="27">
        <v>125</v>
      </c>
      <c r="BH25" s="28">
        <v>125</v>
      </c>
      <c r="BI25" s="22">
        <v>250</v>
      </c>
      <c r="BJ25" s="28">
        <v>125</v>
      </c>
      <c r="BK25" s="22">
        <v>375</v>
      </c>
      <c r="BL25" s="28">
        <v>125</v>
      </c>
      <c r="BM25" s="23">
        <v>500</v>
      </c>
      <c r="BN25" s="26"/>
      <c r="BO25" s="27">
        <v>125</v>
      </c>
      <c r="BP25" s="28">
        <v>125</v>
      </c>
      <c r="BQ25" s="22">
        <v>250</v>
      </c>
      <c r="BR25" s="28">
        <v>125</v>
      </c>
      <c r="BS25" s="22">
        <v>375</v>
      </c>
      <c r="BT25" s="28">
        <v>125</v>
      </c>
      <c r="BU25" s="23">
        <v>500</v>
      </c>
      <c r="BV25" s="26"/>
      <c r="BW25" s="27">
        <v>125</v>
      </c>
      <c r="BX25" s="28">
        <v>125</v>
      </c>
      <c r="BY25" s="22">
        <v>250</v>
      </c>
      <c r="BZ25" s="28">
        <v>125</v>
      </c>
      <c r="CA25" s="22">
        <v>375</v>
      </c>
      <c r="CB25" s="28">
        <v>125</v>
      </c>
      <c r="CC25" s="23">
        <v>500</v>
      </c>
      <c r="CD25" s="26"/>
      <c r="CE25" s="27">
        <v>125</v>
      </c>
      <c r="CF25" s="28">
        <v>125</v>
      </c>
      <c r="CG25" s="22">
        <v>250</v>
      </c>
      <c r="CH25" s="28">
        <v>125</v>
      </c>
      <c r="CI25" s="22">
        <v>375</v>
      </c>
      <c r="CJ25" s="28">
        <v>125</v>
      </c>
      <c r="CK25" s="23">
        <v>500</v>
      </c>
      <c r="CL25" s="26"/>
      <c r="CM25" s="27">
        <v>0</v>
      </c>
      <c r="CN25" s="28">
        <v>125</v>
      </c>
      <c r="CO25" s="22">
        <v>125</v>
      </c>
      <c r="CP25" s="28">
        <v>125</v>
      </c>
      <c r="CQ25" s="22">
        <v>250</v>
      </c>
      <c r="CR25" s="28">
        <v>125</v>
      </c>
      <c r="CS25" s="23">
        <v>375</v>
      </c>
    </row>
    <row r="26" spans="1:97" ht="15" customHeight="1" outlineLevel="1" x14ac:dyDescent="0.25">
      <c r="A26" s="5" t="s">
        <v>15</v>
      </c>
      <c r="B26" s="218"/>
      <c r="C26" s="218"/>
      <c r="D26" s="24">
        <v>0</v>
      </c>
      <c r="E26" s="405">
        <v>0</v>
      </c>
      <c r="F26" s="405">
        <v>0</v>
      </c>
      <c r="G26" s="405">
        <f t="shared" si="0"/>
        <v>0</v>
      </c>
      <c r="H26" s="23">
        <v>0</v>
      </c>
      <c r="I26" s="405"/>
      <c r="J26" s="218"/>
      <c r="K26" s="24">
        <v>0</v>
      </c>
      <c r="L26" s="405">
        <v>0</v>
      </c>
      <c r="M26" s="405">
        <v>0</v>
      </c>
      <c r="N26" s="405">
        <v>0</v>
      </c>
      <c r="O26" s="405">
        <v>0</v>
      </c>
      <c r="P26" s="405">
        <v>0</v>
      </c>
      <c r="Q26" s="23">
        <v>0</v>
      </c>
      <c r="R26" s="218"/>
      <c r="S26" s="24">
        <v>18</v>
      </c>
      <c r="T26" s="22">
        <v>5</v>
      </c>
      <c r="U26" s="22">
        <v>23</v>
      </c>
      <c r="V26" s="22">
        <v>0</v>
      </c>
      <c r="W26" s="22">
        <v>23</v>
      </c>
      <c r="X26" s="22">
        <v>0</v>
      </c>
      <c r="Y26" s="23">
        <v>23</v>
      </c>
      <c r="Z26" s="218"/>
      <c r="AA26" s="24">
        <v>18</v>
      </c>
      <c r="AB26" s="22">
        <v>17</v>
      </c>
      <c r="AC26" s="22">
        <v>35</v>
      </c>
      <c r="AD26" s="22">
        <v>18</v>
      </c>
      <c r="AE26" s="22">
        <v>53</v>
      </c>
      <c r="AF26" s="22">
        <v>17</v>
      </c>
      <c r="AG26" s="23">
        <v>70</v>
      </c>
      <c r="AH26" s="218"/>
      <c r="AI26" s="24">
        <v>256</v>
      </c>
      <c r="AJ26" s="22">
        <v>18</v>
      </c>
      <c r="AK26" s="22">
        <v>274</v>
      </c>
      <c r="AL26" s="22">
        <v>18</v>
      </c>
      <c r="AM26" s="22">
        <v>292</v>
      </c>
      <c r="AN26" s="22">
        <v>17</v>
      </c>
      <c r="AO26" s="23">
        <v>309</v>
      </c>
      <c r="AP26" s="218"/>
      <c r="AQ26" s="24">
        <v>264</v>
      </c>
      <c r="AR26" s="22">
        <v>259</v>
      </c>
      <c r="AS26" s="22">
        <v>523</v>
      </c>
      <c r="AT26" s="22">
        <v>256</v>
      </c>
      <c r="AU26" s="22">
        <v>779</v>
      </c>
      <c r="AV26" s="22">
        <v>257</v>
      </c>
      <c r="AW26" s="23">
        <v>1036</v>
      </c>
      <c r="AX26" s="26"/>
      <c r="AY26" s="24">
        <v>980</v>
      </c>
      <c r="AZ26" s="22">
        <v>264</v>
      </c>
      <c r="BA26" s="22">
        <v>1244</v>
      </c>
      <c r="BB26" s="22">
        <v>264</v>
      </c>
      <c r="BC26" s="22">
        <v>1508</v>
      </c>
      <c r="BD26" s="22">
        <v>264</v>
      </c>
      <c r="BE26" s="23">
        <v>1772</v>
      </c>
      <c r="BF26" s="26"/>
      <c r="BG26" s="24">
        <v>955</v>
      </c>
      <c r="BH26" s="22">
        <v>972</v>
      </c>
      <c r="BI26" s="22">
        <v>1927</v>
      </c>
      <c r="BJ26" s="22">
        <v>980</v>
      </c>
      <c r="BK26" s="22">
        <v>2907</v>
      </c>
      <c r="BL26" s="22">
        <v>980</v>
      </c>
      <c r="BM26" s="23">
        <v>3887</v>
      </c>
      <c r="BN26" s="26"/>
      <c r="BO26" s="24">
        <v>1230</v>
      </c>
      <c r="BP26" s="22">
        <v>955</v>
      </c>
      <c r="BQ26" s="22">
        <v>2185</v>
      </c>
      <c r="BR26" s="22">
        <v>955</v>
      </c>
      <c r="BS26" s="22">
        <v>3140</v>
      </c>
      <c r="BT26" s="22">
        <v>955</v>
      </c>
      <c r="BU26" s="23">
        <v>4095</v>
      </c>
      <c r="BV26" s="26"/>
      <c r="BW26" s="24">
        <v>1294</v>
      </c>
      <c r="BX26" s="22">
        <v>1230</v>
      </c>
      <c r="BY26" s="22">
        <v>2524</v>
      </c>
      <c r="BZ26" s="22">
        <v>1230</v>
      </c>
      <c r="CA26" s="22">
        <v>3754</v>
      </c>
      <c r="CB26" s="22">
        <v>1230</v>
      </c>
      <c r="CC26" s="23">
        <v>4984</v>
      </c>
      <c r="CD26" s="26"/>
      <c r="CE26" s="24">
        <v>1294</v>
      </c>
      <c r="CF26" s="22">
        <v>1295</v>
      </c>
      <c r="CG26" s="22">
        <v>2589</v>
      </c>
      <c r="CH26" s="22">
        <v>1294</v>
      </c>
      <c r="CI26" s="22">
        <v>3883</v>
      </c>
      <c r="CJ26" s="22">
        <v>1295</v>
      </c>
      <c r="CK26" s="23">
        <v>5178</v>
      </c>
      <c r="CL26" s="26"/>
      <c r="CM26" s="24">
        <v>0</v>
      </c>
      <c r="CN26" s="22">
        <v>1290</v>
      </c>
      <c r="CO26" s="22">
        <v>1290</v>
      </c>
      <c r="CP26" s="22">
        <v>1299</v>
      </c>
      <c r="CQ26" s="22">
        <v>2589</v>
      </c>
      <c r="CR26" s="22">
        <v>1294</v>
      </c>
      <c r="CS26" s="23">
        <v>3883</v>
      </c>
    </row>
    <row r="27" spans="1:97" s="163" customFormat="1" ht="15" customHeight="1" outlineLevel="1" x14ac:dyDescent="0.25">
      <c r="A27" s="5" t="s">
        <v>16</v>
      </c>
      <c r="B27" s="218"/>
      <c r="C27" s="218"/>
      <c r="D27" s="160">
        <v>0</v>
      </c>
      <c r="E27" s="409">
        <v>0</v>
      </c>
      <c r="F27" s="409">
        <v>0</v>
      </c>
      <c r="G27" s="409">
        <f t="shared" si="0"/>
        <v>0</v>
      </c>
      <c r="H27" s="162">
        <v>0</v>
      </c>
      <c r="I27" s="409"/>
      <c r="J27" s="218"/>
      <c r="K27" s="160">
        <v>0</v>
      </c>
      <c r="L27" s="409">
        <v>0</v>
      </c>
      <c r="M27" s="409">
        <v>0</v>
      </c>
      <c r="N27" s="409">
        <v>0</v>
      </c>
      <c r="O27" s="409">
        <v>0</v>
      </c>
      <c r="P27" s="409">
        <v>0</v>
      </c>
      <c r="Q27" s="162">
        <v>0</v>
      </c>
      <c r="R27" s="218"/>
      <c r="S27" s="160">
        <v>0</v>
      </c>
      <c r="T27" s="161">
        <v>0</v>
      </c>
      <c r="U27" s="161">
        <v>0</v>
      </c>
      <c r="V27" s="161">
        <v>0</v>
      </c>
      <c r="W27" s="161">
        <v>0</v>
      </c>
      <c r="X27" s="161">
        <v>0</v>
      </c>
      <c r="Y27" s="162">
        <v>0</v>
      </c>
      <c r="Z27" s="218"/>
      <c r="AA27" s="160">
        <v>0</v>
      </c>
      <c r="AB27" s="161">
        <v>0</v>
      </c>
      <c r="AC27" s="161">
        <v>0</v>
      </c>
      <c r="AD27" s="161">
        <v>0</v>
      </c>
      <c r="AE27" s="161">
        <v>0</v>
      </c>
      <c r="AF27" s="161">
        <v>0</v>
      </c>
      <c r="AG27" s="162">
        <v>0</v>
      </c>
      <c r="AH27" s="218"/>
      <c r="AI27" s="160">
        <v>0</v>
      </c>
      <c r="AJ27" s="161">
        <v>0</v>
      </c>
      <c r="AK27" s="161">
        <v>0</v>
      </c>
      <c r="AL27" s="161">
        <v>0</v>
      </c>
      <c r="AM27" s="161">
        <v>0</v>
      </c>
      <c r="AN27" s="161">
        <v>0</v>
      </c>
      <c r="AO27" s="162">
        <v>0</v>
      </c>
      <c r="AP27" s="218"/>
      <c r="AQ27" s="160">
        <v>0</v>
      </c>
      <c r="AR27" s="161">
        <v>0</v>
      </c>
      <c r="AS27" s="161">
        <v>0</v>
      </c>
      <c r="AT27" s="161">
        <v>0</v>
      </c>
      <c r="AU27" s="161">
        <v>0</v>
      </c>
      <c r="AV27" s="161">
        <v>0</v>
      </c>
      <c r="AW27" s="162">
        <v>0</v>
      </c>
      <c r="AX27" s="165"/>
      <c r="AY27" s="160">
        <v>0</v>
      </c>
      <c r="AZ27" s="161">
        <v>0</v>
      </c>
      <c r="BA27" s="161">
        <v>0</v>
      </c>
      <c r="BB27" s="161">
        <v>0</v>
      </c>
      <c r="BC27" s="161">
        <v>0</v>
      </c>
      <c r="BD27" s="161">
        <v>0</v>
      </c>
      <c r="BE27" s="162">
        <v>0</v>
      </c>
      <c r="BF27" s="165"/>
      <c r="BG27" s="160">
        <v>0</v>
      </c>
      <c r="BH27" s="161">
        <v>0</v>
      </c>
      <c r="BI27" s="161">
        <v>0</v>
      </c>
      <c r="BJ27" s="161">
        <v>0</v>
      </c>
      <c r="BK27" s="161">
        <v>0</v>
      </c>
      <c r="BL27" s="161">
        <v>0</v>
      </c>
      <c r="BM27" s="162">
        <v>0</v>
      </c>
      <c r="BN27" s="165"/>
      <c r="BO27" s="160">
        <v>0</v>
      </c>
      <c r="BP27" s="161">
        <v>0</v>
      </c>
      <c r="BQ27" s="161">
        <v>0</v>
      </c>
      <c r="BR27" s="161">
        <v>0</v>
      </c>
      <c r="BS27" s="161">
        <v>0</v>
      </c>
      <c r="BT27" s="161">
        <v>0</v>
      </c>
      <c r="BU27" s="162">
        <v>0</v>
      </c>
      <c r="BV27" s="165"/>
      <c r="BW27" s="160">
        <v>0</v>
      </c>
      <c r="BX27" s="161">
        <v>0</v>
      </c>
      <c r="BY27" s="161">
        <v>0</v>
      </c>
      <c r="BZ27" s="161">
        <v>0</v>
      </c>
      <c r="CA27" s="161">
        <v>0</v>
      </c>
      <c r="CB27" s="161">
        <v>0</v>
      </c>
      <c r="CC27" s="162">
        <v>0</v>
      </c>
      <c r="CD27" s="165"/>
      <c r="CE27" s="160">
        <v>0</v>
      </c>
      <c r="CF27" s="161">
        <v>0</v>
      </c>
      <c r="CG27" s="161">
        <v>0</v>
      </c>
      <c r="CH27" s="161">
        <v>0</v>
      </c>
      <c r="CI27" s="161">
        <v>0</v>
      </c>
      <c r="CJ27" s="161">
        <v>0</v>
      </c>
      <c r="CK27" s="162">
        <v>0</v>
      </c>
      <c r="CL27" s="165"/>
      <c r="CM27" s="160">
        <v>0</v>
      </c>
      <c r="CN27" s="161">
        <v>0</v>
      </c>
      <c r="CO27" s="161">
        <v>0</v>
      </c>
      <c r="CP27" s="161">
        <v>0</v>
      </c>
      <c r="CQ27" s="161">
        <v>0</v>
      </c>
      <c r="CR27" s="161">
        <v>0</v>
      </c>
      <c r="CS27" s="162">
        <v>0</v>
      </c>
    </row>
    <row r="28" spans="1:97" s="14" customFormat="1" x14ac:dyDescent="0.25">
      <c r="A28" s="16" t="s">
        <v>17</v>
      </c>
      <c r="B28" s="218"/>
      <c r="C28" s="218"/>
      <c r="D28" s="25">
        <v>5630</v>
      </c>
      <c r="E28" s="406">
        <v>5903</v>
      </c>
      <c r="F28" s="406">
        <v>11533</v>
      </c>
      <c r="G28" s="406">
        <f t="shared" si="0"/>
        <v>-3228</v>
      </c>
      <c r="H28" s="21">
        <v>8305</v>
      </c>
      <c r="I28" s="406"/>
      <c r="J28" s="218"/>
      <c r="K28" s="25">
        <v>3145</v>
      </c>
      <c r="L28" s="406">
        <v>3400</v>
      </c>
      <c r="M28" s="406">
        <v>6545</v>
      </c>
      <c r="N28" s="406">
        <v>5736</v>
      </c>
      <c r="O28" s="406">
        <v>12281</v>
      </c>
      <c r="P28" s="406">
        <v>4545</v>
      </c>
      <c r="Q28" s="21">
        <v>16826</v>
      </c>
      <c r="R28" s="218"/>
      <c r="S28" s="25">
        <v>1415</v>
      </c>
      <c r="T28" s="20">
        <v>1671</v>
      </c>
      <c r="U28" s="20">
        <v>3086</v>
      </c>
      <c r="V28" s="20">
        <v>2726</v>
      </c>
      <c r="W28" s="20">
        <v>5812</v>
      </c>
      <c r="X28" s="20">
        <v>2714</v>
      </c>
      <c r="Y28" s="21">
        <v>8526</v>
      </c>
      <c r="Z28" s="218"/>
      <c r="AA28" s="25">
        <v>2815</v>
      </c>
      <c r="AB28" s="20">
        <v>1612</v>
      </c>
      <c r="AC28" s="20">
        <v>4427</v>
      </c>
      <c r="AD28" s="20">
        <v>467</v>
      </c>
      <c r="AE28" s="20">
        <v>4894</v>
      </c>
      <c r="AF28" s="20">
        <v>1012</v>
      </c>
      <c r="AG28" s="21">
        <v>5906</v>
      </c>
      <c r="AH28" s="218"/>
      <c r="AI28" s="25">
        <v>2480</v>
      </c>
      <c r="AJ28" s="20">
        <v>2370</v>
      </c>
      <c r="AK28" s="20">
        <v>4850</v>
      </c>
      <c r="AL28" s="20">
        <v>2050</v>
      </c>
      <c r="AM28" s="20">
        <v>6900</v>
      </c>
      <c r="AN28" s="20">
        <v>2576</v>
      </c>
      <c r="AO28" s="21">
        <v>9476</v>
      </c>
      <c r="AP28" s="218"/>
      <c r="AQ28" s="25">
        <v>4841</v>
      </c>
      <c r="AR28" s="20">
        <v>2621</v>
      </c>
      <c r="AS28" s="20">
        <v>7462</v>
      </c>
      <c r="AT28" s="20">
        <v>2417</v>
      </c>
      <c r="AU28" s="20">
        <v>9879</v>
      </c>
      <c r="AV28" s="20">
        <v>3355</v>
      </c>
      <c r="AW28" s="21">
        <v>13234</v>
      </c>
      <c r="AX28" s="26"/>
      <c r="AY28" s="25">
        <v>1404</v>
      </c>
      <c r="AZ28" s="20">
        <v>2764</v>
      </c>
      <c r="BA28" s="20">
        <v>4168</v>
      </c>
      <c r="BB28" s="20">
        <v>3545</v>
      </c>
      <c r="BC28" s="20">
        <v>7713</v>
      </c>
      <c r="BD28" s="20">
        <v>4145</v>
      </c>
      <c r="BE28" s="21">
        <v>11858</v>
      </c>
      <c r="BF28" s="26"/>
      <c r="BG28" s="25">
        <v>1710</v>
      </c>
      <c r="BH28" s="20">
        <v>-2247</v>
      </c>
      <c r="BI28" s="20">
        <v>-537</v>
      </c>
      <c r="BJ28" s="20">
        <v>-1692</v>
      </c>
      <c r="BK28" s="20">
        <v>-2229</v>
      </c>
      <c r="BL28" s="20">
        <v>-488</v>
      </c>
      <c r="BM28" s="21">
        <v>-2717</v>
      </c>
      <c r="BN28" s="26"/>
      <c r="BO28" s="25">
        <v>2857</v>
      </c>
      <c r="BP28" s="20">
        <v>3319</v>
      </c>
      <c r="BQ28" s="20">
        <v>6176</v>
      </c>
      <c r="BR28" s="20">
        <v>4224</v>
      </c>
      <c r="BS28" s="20">
        <v>10400</v>
      </c>
      <c r="BT28" s="20">
        <v>2057</v>
      </c>
      <c r="BU28" s="21">
        <v>12457</v>
      </c>
      <c r="BV28" s="26"/>
      <c r="BW28" s="25">
        <v>575</v>
      </c>
      <c r="BX28" s="20">
        <v>1642</v>
      </c>
      <c r="BY28" s="20">
        <v>2217</v>
      </c>
      <c r="BZ28" s="20">
        <v>2051</v>
      </c>
      <c r="CA28" s="20">
        <v>4268</v>
      </c>
      <c r="CB28" s="20">
        <v>1717</v>
      </c>
      <c r="CC28" s="21">
        <v>5985</v>
      </c>
      <c r="CD28" s="26"/>
      <c r="CE28" s="25">
        <v>896</v>
      </c>
      <c r="CF28" s="20">
        <v>1017</v>
      </c>
      <c r="CG28" s="20">
        <v>1913</v>
      </c>
      <c r="CH28" s="20">
        <v>1457</v>
      </c>
      <c r="CI28" s="20">
        <v>3370</v>
      </c>
      <c r="CJ28" s="20">
        <v>966</v>
      </c>
      <c r="CK28" s="21">
        <v>4336</v>
      </c>
      <c r="CL28" s="26"/>
      <c r="CM28" s="25">
        <v>-1450</v>
      </c>
      <c r="CN28" s="20">
        <v>-169</v>
      </c>
      <c r="CO28" s="20">
        <v>-1619</v>
      </c>
      <c r="CP28" s="20">
        <v>375</v>
      </c>
      <c r="CQ28" s="20">
        <v>-1244</v>
      </c>
      <c r="CR28" s="20">
        <v>433</v>
      </c>
      <c r="CS28" s="21">
        <v>-811</v>
      </c>
    </row>
    <row r="29" spans="1:97" ht="15" customHeight="1" outlineLevel="1" x14ac:dyDescent="0.25">
      <c r="A29" s="5" t="s">
        <v>18</v>
      </c>
      <c r="B29" s="218"/>
      <c r="C29" s="218"/>
      <c r="D29" s="27">
        <v>15</v>
      </c>
      <c r="E29" s="408">
        <v>-23</v>
      </c>
      <c r="F29" s="408">
        <v>-8</v>
      </c>
      <c r="G29" s="408">
        <f t="shared" si="0"/>
        <v>131</v>
      </c>
      <c r="H29" s="29">
        <v>123</v>
      </c>
      <c r="I29" s="408"/>
      <c r="J29" s="218"/>
      <c r="K29" s="27">
        <v>17</v>
      </c>
      <c r="L29" s="408">
        <v>20</v>
      </c>
      <c r="M29" s="405">
        <v>37</v>
      </c>
      <c r="N29" s="408">
        <v>20</v>
      </c>
      <c r="O29" s="405">
        <v>57</v>
      </c>
      <c r="P29" s="408">
        <v>31</v>
      </c>
      <c r="Q29" s="23">
        <v>88</v>
      </c>
      <c r="R29" s="218"/>
      <c r="S29" s="27">
        <v>64</v>
      </c>
      <c r="T29" s="28">
        <v>7</v>
      </c>
      <c r="U29" s="22">
        <v>71</v>
      </c>
      <c r="V29" s="28">
        <v>1</v>
      </c>
      <c r="W29" s="22">
        <v>72</v>
      </c>
      <c r="X29" s="28">
        <v>28</v>
      </c>
      <c r="Y29" s="23">
        <v>100</v>
      </c>
      <c r="Z29" s="218"/>
      <c r="AA29" s="27">
        <v>33</v>
      </c>
      <c r="AB29" s="28">
        <v>5</v>
      </c>
      <c r="AC29" s="22">
        <v>38</v>
      </c>
      <c r="AD29" s="28">
        <v>15</v>
      </c>
      <c r="AE29" s="22">
        <v>53</v>
      </c>
      <c r="AF29" s="28">
        <v>50</v>
      </c>
      <c r="AG29" s="23">
        <v>103</v>
      </c>
      <c r="AH29" s="218"/>
      <c r="AI29" s="27">
        <v>12</v>
      </c>
      <c r="AJ29" s="28">
        <v>16</v>
      </c>
      <c r="AK29" s="22">
        <v>28</v>
      </c>
      <c r="AL29" s="28">
        <v>10</v>
      </c>
      <c r="AM29" s="22">
        <v>38</v>
      </c>
      <c r="AN29" s="28">
        <v>17</v>
      </c>
      <c r="AO29" s="23">
        <v>55</v>
      </c>
      <c r="AP29" s="218"/>
      <c r="AQ29" s="27">
        <v>118</v>
      </c>
      <c r="AR29" s="28">
        <v>26</v>
      </c>
      <c r="AS29" s="22">
        <v>144</v>
      </c>
      <c r="AT29" s="28">
        <v>7</v>
      </c>
      <c r="AU29" s="22">
        <v>151</v>
      </c>
      <c r="AV29" s="28">
        <v>22</v>
      </c>
      <c r="AW29" s="23">
        <v>173</v>
      </c>
      <c r="AX29" s="26"/>
      <c r="AY29" s="27">
        <v>11</v>
      </c>
      <c r="AZ29" s="28">
        <v>51</v>
      </c>
      <c r="BA29" s="22">
        <v>62</v>
      </c>
      <c r="BB29" s="28">
        <v>53</v>
      </c>
      <c r="BC29" s="22">
        <v>115</v>
      </c>
      <c r="BD29" s="28">
        <v>53</v>
      </c>
      <c r="BE29" s="23">
        <v>168</v>
      </c>
      <c r="BF29" s="26"/>
      <c r="BG29" s="27">
        <v>67</v>
      </c>
      <c r="BH29" s="28">
        <v>83</v>
      </c>
      <c r="BI29" s="22">
        <v>150</v>
      </c>
      <c r="BJ29" s="28">
        <v>61</v>
      </c>
      <c r="BK29" s="22">
        <v>211</v>
      </c>
      <c r="BL29" s="28">
        <v>72</v>
      </c>
      <c r="BM29" s="23">
        <v>283</v>
      </c>
      <c r="BN29" s="26"/>
      <c r="BO29" s="27">
        <v>62</v>
      </c>
      <c r="BP29" s="28">
        <v>58</v>
      </c>
      <c r="BQ29" s="22">
        <v>120</v>
      </c>
      <c r="BR29" s="28">
        <v>62</v>
      </c>
      <c r="BS29" s="22">
        <v>182</v>
      </c>
      <c r="BT29" s="28">
        <v>44</v>
      </c>
      <c r="BU29" s="23">
        <v>226</v>
      </c>
      <c r="BV29" s="26"/>
      <c r="BW29" s="27">
        <v>109</v>
      </c>
      <c r="BX29" s="28">
        <v>66</v>
      </c>
      <c r="BY29" s="22">
        <v>175</v>
      </c>
      <c r="BZ29" s="28">
        <v>33</v>
      </c>
      <c r="CA29" s="22">
        <v>208</v>
      </c>
      <c r="CB29" s="28">
        <v>62</v>
      </c>
      <c r="CC29" s="23">
        <v>270</v>
      </c>
      <c r="CD29" s="26"/>
      <c r="CE29" s="27">
        <v>21</v>
      </c>
      <c r="CF29" s="28">
        <v>119</v>
      </c>
      <c r="CG29" s="22">
        <v>140</v>
      </c>
      <c r="CH29" s="28">
        <v>79</v>
      </c>
      <c r="CI29" s="22">
        <v>219</v>
      </c>
      <c r="CJ29" s="28">
        <v>82</v>
      </c>
      <c r="CK29" s="23">
        <v>301</v>
      </c>
      <c r="CL29" s="26"/>
      <c r="CM29" s="27">
        <v>0</v>
      </c>
      <c r="CN29" s="28">
        <v>88</v>
      </c>
      <c r="CO29" s="22">
        <v>88</v>
      </c>
      <c r="CP29" s="28">
        <v>82</v>
      </c>
      <c r="CQ29" s="22">
        <v>170</v>
      </c>
      <c r="CR29" s="28">
        <v>84</v>
      </c>
      <c r="CS29" s="23">
        <v>254</v>
      </c>
    </row>
    <row r="30" spans="1:97" ht="15" customHeight="1" outlineLevel="1" x14ac:dyDescent="0.25">
      <c r="A30" s="5" t="s">
        <v>19</v>
      </c>
      <c r="B30" s="218"/>
      <c r="C30" s="218"/>
      <c r="D30" s="27">
        <v>0</v>
      </c>
      <c r="E30" s="408">
        <v>0</v>
      </c>
      <c r="F30" s="408">
        <v>0</v>
      </c>
      <c r="G30" s="408">
        <f t="shared" si="0"/>
        <v>0</v>
      </c>
      <c r="H30" s="29">
        <v>0</v>
      </c>
      <c r="I30" s="408"/>
      <c r="J30" s="218"/>
      <c r="K30" s="27">
        <v>0</v>
      </c>
      <c r="L30" s="408">
        <v>0</v>
      </c>
      <c r="M30" s="405">
        <v>0</v>
      </c>
      <c r="N30" s="408">
        <v>0</v>
      </c>
      <c r="O30" s="405">
        <v>0</v>
      </c>
      <c r="P30" s="408">
        <v>0</v>
      </c>
      <c r="Q30" s="23">
        <v>0</v>
      </c>
      <c r="R30" s="218"/>
      <c r="S30" s="27">
        <v>0</v>
      </c>
      <c r="T30" s="28">
        <v>0</v>
      </c>
      <c r="U30" s="22">
        <v>0</v>
      </c>
      <c r="V30" s="28">
        <v>0</v>
      </c>
      <c r="W30" s="22">
        <v>0</v>
      </c>
      <c r="X30" s="28">
        <v>0</v>
      </c>
      <c r="Y30" s="23">
        <v>0</v>
      </c>
      <c r="Z30" s="218"/>
      <c r="AA30" s="27">
        <v>0</v>
      </c>
      <c r="AB30" s="28">
        <v>0</v>
      </c>
      <c r="AC30" s="22">
        <v>0</v>
      </c>
      <c r="AD30" s="28">
        <v>0</v>
      </c>
      <c r="AE30" s="22">
        <v>0</v>
      </c>
      <c r="AF30" s="28">
        <v>0</v>
      </c>
      <c r="AG30" s="23">
        <v>0</v>
      </c>
      <c r="AH30" s="218"/>
      <c r="AI30" s="27">
        <v>0</v>
      </c>
      <c r="AJ30" s="28">
        <v>0</v>
      </c>
      <c r="AK30" s="22">
        <v>0</v>
      </c>
      <c r="AL30" s="28">
        <v>0</v>
      </c>
      <c r="AM30" s="22">
        <v>0</v>
      </c>
      <c r="AN30" s="28">
        <v>0</v>
      </c>
      <c r="AO30" s="23">
        <v>0</v>
      </c>
      <c r="AP30" s="218"/>
      <c r="AQ30" s="27">
        <v>0</v>
      </c>
      <c r="AR30" s="28">
        <v>0</v>
      </c>
      <c r="AS30" s="22">
        <v>0</v>
      </c>
      <c r="AT30" s="28">
        <v>0</v>
      </c>
      <c r="AU30" s="22">
        <v>0</v>
      </c>
      <c r="AV30" s="28">
        <v>0</v>
      </c>
      <c r="AW30" s="23">
        <v>0</v>
      </c>
      <c r="AX30" s="26"/>
      <c r="AY30" s="27">
        <v>0</v>
      </c>
      <c r="AZ30" s="28">
        <v>0</v>
      </c>
      <c r="BA30" s="22">
        <v>0</v>
      </c>
      <c r="BB30" s="28">
        <v>0</v>
      </c>
      <c r="BC30" s="22">
        <v>0</v>
      </c>
      <c r="BD30" s="28">
        <v>0</v>
      </c>
      <c r="BE30" s="23">
        <v>0</v>
      </c>
      <c r="BF30" s="26"/>
      <c r="BG30" s="27">
        <v>3</v>
      </c>
      <c r="BH30" s="28">
        <v>1</v>
      </c>
      <c r="BI30" s="22">
        <v>4</v>
      </c>
      <c r="BJ30" s="28">
        <v>0</v>
      </c>
      <c r="BK30" s="22">
        <v>4</v>
      </c>
      <c r="BL30" s="28">
        <v>-4</v>
      </c>
      <c r="BM30" s="23">
        <v>0</v>
      </c>
      <c r="BN30" s="26"/>
      <c r="BO30" s="27">
        <v>0</v>
      </c>
      <c r="BP30" s="28">
        <v>0</v>
      </c>
      <c r="BQ30" s="22">
        <v>0</v>
      </c>
      <c r="BR30" s="28">
        <v>0</v>
      </c>
      <c r="BS30" s="22">
        <v>0</v>
      </c>
      <c r="BT30" s="28">
        <v>0</v>
      </c>
      <c r="BU30" s="23">
        <v>0</v>
      </c>
      <c r="BV30" s="26"/>
      <c r="BW30" s="27">
        <v>0</v>
      </c>
      <c r="BX30" s="28">
        <v>0</v>
      </c>
      <c r="BY30" s="22">
        <v>0</v>
      </c>
      <c r="BZ30" s="28">
        <v>0</v>
      </c>
      <c r="CA30" s="22">
        <v>0</v>
      </c>
      <c r="CB30" s="28">
        <v>0</v>
      </c>
      <c r="CC30" s="23">
        <v>0</v>
      </c>
      <c r="CD30" s="26"/>
      <c r="CE30" s="27">
        <v>0</v>
      </c>
      <c r="CF30" s="28">
        <v>0</v>
      </c>
      <c r="CG30" s="22">
        <v>0</v>
      </c>
      <c r="CH30" s="28">
        <v>1</v>
      </c>
      <c r="CI30" s="22">
        <v>1</v>
      </c>
      <c r="CJ30" s="28">
        <v>-1</v>
      </c>
      <c r="CK30" s="23">
        <v>0</v>
      </c>
      <c r="CL30" s="26"/>
      <c r="CM30" s="27">
        <v>0</v>
      </c>
      <c r="CN30" s="28">
        <v>0</v>
      </c>
      <c r="CO30" s="22">
        <v>0</v>
      </c>
      <c r="CP30" s="28">
        <v>1</v>
      </c>
      <c r="CQ30" s="22">
        <v>1</v>
      </c>
      <c r="CR30" s="28">
        <v>-1</v>
      </c>
      <c r="CS30" s="23">
        <v>0</v>
      </c>
    </row>
    <row r="31" spans="1:97" ht="15" customHeight="1" outlineLevel="1" x14ac:dyDescent="0.25">
      <c r="A31" s="5" t="s">
        <v>20</v>
      </c>
      <c r="B31" s="218"/>
      <c r="C31" s="218"/>
      <c r="D31" s="27">
        <v>699</v>
      </c>
      <c r="E31" s="408">
        <v>661</v>
      </c>
      <c r="F31" s="408">
        <v>1360</v>
      </c>
      <c r="G31" s="408">
        <f t="shared" si="0"/>
        <v>246</v>
      </c>
      <c r="H31" s="29">
        <v>1606</v>
      </c>
      <c r="I31" s="408"/>
      <c r="J31" s="218"/>
      <c r="K31" s="27">
        <v>982</v>
      </c>
      <c r="L31" s="408">
        <v>918</v>
      </c>
      <c r="M31" s="405">
        <v>1900</v>
      </c>
      <c r="N31" s="408">
        <v>848</v>
      </c>
      <c r="O31" s="405">
        <v>2748</v>
      </c>
      <c r="P31" s="408">
        <v>800</v>
      </c>
      <c r="Q31" s="23">
        <v>3548</v>
      </c>
      <c r="R31" s="218"/>
      <c r="S31" s="27">
        <v>1080</v>
      </c>
      <c r="T31" s="28">
        <v>1077</v>
      </c>
      <c r="U31" s="22">
        <v>2157</v>
      </c>
      <c r="V31" s="28">
        <v>1121</v>
      </c>
      <c r="W31" s="22">
        <v>3278</v>
      </c>
      <c r="X31" s="28">
        <v>1086</v>
      </c>
      <c r="Y31" s="23">
        <v>4364</v>
      </c>
      <c r="Z31" s="218"/>
      <c r="AA31" s="27">
        <v>1012</v>
      </c>
      <c r="AB31" s="28">
        <v>1048</v>
      </c>
      <c r="AC31" s="22">
        <v>2060</v>
      </c>
      <c r="AD31" s="28">
        <v>1079</v>
      </c>
      <c r="AE31" s="22">
        <v>3139</v>
      </c>
      <c r="AF31" s="28">
        <v>1094</v>
      </c>
      <c r="AG31" s="23">
        <v>4233</v>
      </c>
      <c r="AH31" s="218"/>
      <c r="AI31" s="27">
        <v>988</v>
      </c>
      <c r="AJ31" s="28">
        <v>984</v>
      </c>
      <c r="AK31" s="22">
        <v>1972</v>
      </c>
      <c r="AL31" s="28">
        <v>1017</v>
      </c>
      <c r="AM31" s="22">
        <v>2989</v>
      </c>
      <c r="AN31" s="28">
        <v>1040</v>
      </c>
      <c r="AO31" s="23">
        <v>4029</v>
      </c>
      <c r="AP31" s="218"/>
      <c r="AQ31" s="27">
        <v>1045</v>
      </c>
      <c r="AR31" s="28">
        <v>1072</v>
      </c>
      <c r="AS31" s="22">
        <v>2117</v>
      </c>
      <c r="AT31" s="28">
        <v>1055</v>
      </c>
      <c r="AU31" s="22">
        <v>3172</v>
      </c>
      <c r="AV31" s="28">
        <v>1031</v>
      </c>
      <c r="AW31" s="23">
        <v>4203</v>
      </c>
      <c r="AX31" s="26"/>
      <c r="AY31" s="27">
        <v>1101</v>
      </c>
      <c r="AZ31" s="28">
        <v>1084</v>
      </c>
      <c r="BA31" s="22">
        <v>2185</v>
      </c>
      <c r="BB31" s="28">
        <v>1072</v>
      </c>
      <c r="BC31" s="22">
        <v>3257</v>
      </c>
      <c r="BD31" s="28">
        <v>1062</v>
      </c>
      <c r="BE31" s="23">
        <v>4319</v>
      </c>
      <c r="BF31" s="26"/>
      <c r="BG31" s="27">
        <v>1153</v>
      </c>
      <c r="BH31" s="28">
        <v>1137</v>
      </c>
      <c r="BI31" s="22">
        <v>2290</v>
      </c>
      <c r="BJ31" s="28">
        <v>1123</v>
      </c>
      <c r="BK31" s="22">
        <v>3413</v>
      </c>
      <c r="BL31" s="28">
        <v>1159</v>
      </c>
      <c r="BM31" s="23">
        <v>4572</v>
      </c>
      <c r="BN31" s="26"/>
      <c r="BO31" s="27">
        <v>1067</v>
      </c>
      <c r="BP31" s="28">
        <v>1058</v>
      </c>
      <c r="BQ31" s="22">
        <v>2125</v>
      </c>
      <c r="BR31" s="28">
        <v>1107</v>
      </c>
      <c r="BS31" s="22">
        <v>3232</v>
      </c>
      <c r="BT31" s="28">
        <v>1138</v>
      </c>
      <c r="BU31" s="23">
        <v>4370</v>
      </c>
      <c r="BV31" s="26"/>
      <c r="BW31" s="27">
        <v>1049</v>
      </c>
      <c r="BX31" s="28">
        <v>1154</v>
      </c>
      <c r="BY31" s="22">
        <v>2203</v>
      </c>
      <c r="BZ31" s="28">
        <v>1133</v>
      </c>
      <c r="CA31" s="22">
        <v>3336</v>
      </c>
      <c r="CB31" s="28">
        <v>1137</v>
      </c>
      <c r="CC31" s="23">
        <v>4473</v>
      </c>
      <c r="CD31" s="26"/>
      <c r="CE31" s="27">
        <v>1068</v>
      </c>
      <c r="CF31" s="28">
        <v>1083</v>
      </c>
      <c r="CG31" s="22">
        <v>2151</v>
      </c>
      <c r="CH31" s="28">
        <v>1073</v>
      </c>
      <c r="CI31" s="22">
        <v>3224</v>
      </c>
      <c r="CJ31" s="28">
        <v>1178</v>
      </c>
      <c r="CK31" s="23">
        <v>4402</v>
      </c>
      <c r="CL31" s="26"/>
      <c r="CM31" s="27">
        <v>0</v>
      </c>
      <c r="CN31" s="28">
        <v>1106</v>
      </c>
      <c r="CO31" s="22">
        <v>1106</v>
      </c>
      <c r="CP31" s="28">
        <v>1115</v>
      </c>
      <c r="CQ31" s="22">
        <v>2221</v>
      </c>
      <c r="CR31" s="28">
        <v>1119</v>
      </c>
      <c r="CS31" s="23">
        <v>3340</v>
      </c>
    </row>
    <row r="32" spans="1:97" ht="17.25" customHeight="1" outlineLevel="1" x14ac:dyDescent="0.4">
      <c r="A32" s="5" t="s">
        <v>21</v>
      </c>
      <c r="B32" s="218"/>
      <c r="C32" s="218"/>
      <c r="D32" s="31">
        <v>1441</v>
      </c>
      <c r="E32" s="410">
        <v>1166</v>
      </c>
      <c r="F32" s="410">
        <v>2607</v>
      </c>
      <c r="G32" s="410">
        <f t="shared" si="0"/>
        <v>-1098</v>
      </c>
      <c r="H32" s="33">
        <v>1509</v>
      </c>
      <c r="I32" s="410"/>
      <c r="J32" s="218"/>
      <c r="K32" s="31">
        <v>538</v>
      </c>
      <c r="L32" s="410">
        <v>610</v>
      </c>
      <c r="M32" s="410">
        <v>1148</v>
      </c>
      <c r="N32" s="410">
        <v>1209</v>
      </c>
      <c r="O32" s="410">
        <v>2357</v>
      </c>
      <c r="P32" s="410">
        <v>931</v>
      </c>
      <c r="Q32" s="33">
        <v>3288</v>
      </c>
      <c r="R32" s="218"/>
      <c r="S32" s="31">
        <v>118</v>
      </c>
      <c r="T32" s="32">
        <v>250</v>
      </c>
      <c r="U32" s="32">
        <v>368</v>
      </c>
      <c r="V32" s="32">
        <v>690</v>
      </c>
      <c r="W32" s="32">
        <v>1058</v>
      </c>
      <c r="X32" s="32">
        <v>-126</v>
      </c>
      <c r="Y32" s="33">
        <v>932</v>
      </c>
      <c r="Z32" s="218"/>
      <c r="AA32" s="31">
        <v>452</v>
      </c>
      <c r="AB32" s="32">
        <v>146</v>
      </c>
      <c r="AC32" s="32">
        <v>598</v>
      </c>
      <c r="AD32" s="32">
        <v>-178</v>
      </c>
      <c r="AE32" s="32">
        <v>420</v>
      </c>
      <c r="AF32" s="32">
        <v>-11</v>
      </c>
      <c r="AG32" s="33">
        <v>409</v>
      </c>
      <c r="AH32" s="218"/>
      <c r="AI32" s="31">
        <v>456</v>
      </c>
      <c r="AJ32" s="32">
        <v>557</v>
      </c>
      <c r="AK32" s="32">
        <v>1013</v>
      </c>
      <c r="AL32" s="32">
        <v>338</v>
      </c>
      <c r="AM32" s="32">
        <v>1351</v>
      </c>
      <c r="AN32" s="32">
        <v>-820</v>
      </c>
      <c r="AO32" s="33">
        <v>531</v>
      </c>
      <c r="AP32" s="218"/>
      <c r="AQ32" s="31">
        <v>1188</v>
      </c>
      <c r="AR32" s="32">
        <v>987</v>
      </c>
      <c r="AS32" s="32">
        <v>2175</v>
      </c>
      <c r="AT32" s="32">
        <v>439</v>
      </c>
      <c r="AU32" s="32">
        <v>2614</v>
      </c>
      <c r="AV32" s="32">
        <v>835</v>
      </c>
      <c r="AW32" s="33">
        <v>3449</v>
      </c>
      <c r="AX32" s="26"/>
      <c r="AY32" s="31">
        <v>86</v>
      </c>
      <c r="AZ32" s="32">
        <v>413</v>
      </c>
      <c r="BA32" s="32">
        <v>499</v>
      </c>
      <c r="BB32" s="32">
        <v>874</v>
      </c>
      <c r="BC32" s="32">
        <v>1373</v>
      </c>
      <c r="BD32" s="32">
        <v>1042</v>
      </c>
      <c r="BE32" s="33">
        <v>2415</v>
      </c>
      <c r="BF32" s="26"/>
      <c r="BG32" s="31">
        <v>143</v>
      </c>
      <c r="BH32" s="32">
        <v>-1362</v>
      </c>
      <c r="BI32" s="32">
        <v>-1219</v>
      </c>
      <c r="BJ32" s="32">
        <v>-918</v>
      </c>
      <c r="BK32" s="32">
        <v>-2137</v>
      </c>
      <c r="BL32" s="32">
        <v>-947</v>
      </c>
      <c r="BM32" s="33">
        <v>-3084</v>
      </c>
      <c r="BN32" s="26"/>
      <c r="BO32" s="31">
        <v>578</v>
      </c>
      <c r="BP32" s="32">
        <v>765</v>
      </c>
      <c r="BQ32" s="32">
        <v>1343</v>
      </c>
      <c r="BR32" s="32">
        <v>810</v>
      </c>
      <c r="BS32" s="32">
        <v>2153</v>
      </c>
      <c r="BT32" s="32">
        <v>221</v>
      </c>
      <c r="BU32" s="33">
        <v>2374</v>
      </c>
      <c r="BV32" s="26"/>
      <c r="BW32" s="31">
        <v>-206</v>
      </c>
      <c r="BX32" s="32">
        <v>101</v>
      </c>
      <c r="BY32" s="32">
        <v>-105</v>
      </c>
      <c r="BZ32" s="32">
        <v>352</v>
      </c>
      <c r="CA32" s="32">
        <v>247</v>
      </c>
      <c r="CB32" s="32">
        <v>272</v>
      </c>
      <c r="CC32" s="33">
        <v>519</v>
      </c>
      <c r="CD32" s="26"/>
      <c r="CE32" s="31">
        <v>-38</v>
      </c>
      <c r="CF32" s="32">
        <v>-116</v>
      </c>
      <c r="CG32" s="32">
        <v>-154</v>
      </c>
      <c r="CH32" s="32">
        <v>166</v>
      </c>
      <c r="CI32" s="32">
        <v>12</v>
      </c>
      <c r="CJ32" s="32">
        <v>-184</v>
      </c>
      <c r="CK32" s="33">
        <v>-172</v>
      </c>
      <c r="CL32" s="26"/>
      <c r="CM32" s="31">
        <v>0</v>
      </c>
      <c r="CN32" s="32">
        <v>-508</v>
      </c>
      <c r="CO32" s="32">
        <v>-508</v>
      </c>
      <c r="CP32" s="32">
        <v>-342</v>
      </c>
      <c r="CQ32" s="32">
        <v>-850</v>
      </c>
      <c r="CR32" s="32">
        <v>-309</v>
      </c>
      <c r="CS32" s="33">
        <v>-1159</v>
      </c>
    </row>
    <row r="33" spans="1:97" s="14" customFormat="1" x14ac:dyDescent="0.25">
      <c r="A33" s="16" t="s">
        <v>24</v>
      </c>
      <c r="B33" s="218"/>
      <c r="C33" s="218"/>
      <c r="D33" s="25">
        <v>3475</v>
      </c>
      <c r="E33" s="406">
        <v>4099</v>
      </c>
      <c r="F33" s="406">
        <v>7574</v>
      </c>
      <c r="G33" s="406">
        <f t="shared" si="0"/>
        <v>-2507</v>
      </c>
      <c r="H33" s="21">
        <v>5067</v>
      </c>
      <c r="I33" s="406"/>
      <c r="J33" s="218"/>
      <c r="K33" s="25">
        <v>1608</v>
      </c>
      <c r="L33" s="406">
        <v>1852</v>
      </c>
      <c r="M33" s="406">
        <v>3460</v>
      </c>
      <c r="N33" s="406">
        <v>3659</v>
      </c>
      <c r="O33" s="406">
        <v>7119</v>
      </c>
      <c r="P33" s="406">
        <v>2783</v>
      </c>
      <c r="Q33" s="21">
        <v>9902</v>
      </c>
      <c r="R33" s="218"/>
      <c r="S33" s="25">
        <v>153</v>
      </c>
      <c r="T33" s="20">
        <v>337</v>
      </c>
      <c r="U33" s="20">
        <v>490</v>
      </c>
      <c r="V33" s="20">
        <v>914</v>
      </c>
      <c r="W33" s="20">
        <v>1404</v>
      </c>
      <c r="X33" s="20">
        <v>1726</v>
      </c>
      <c r="Y33" s="21">
        <v>3130</v>
      </c>
      <c r="Z33" s="218"/>
      <c r="AA33" s="25">
        <v>1318</v>
      </c>
      <c r="AB33" s="20">
        <v>413</v>
      </c>
      <c r="AC33" s="20">
        <v>1731</v>
      </c>
      <c r="AD33" s="20">
        <v>-449</v>
      </c>
      <c r="AE33" s="20">
        <v>1282</v>
      </c>
      <c r="AF33" s="20">
        <v>-121</v>
      </c>
      <c r="AG33" s="21">
        <v>1161</v>
      </c>
      <c r="AH33" s="218"/>
      <c r="AI33" s="25">
        <v>1024</v>
      </c>
      <c r="AJ33" s="20">
        <v>813</v>
      </c>
      <c r="AK33" s="20">
        <v>1837</v>
      </c>
      <c r="AL33" s="20">
        <v>685</v>
      </c>
      <c r="AM33" s="20">
        <v>2522</v>
      </c>
      <c r="AN33" s="20">
        <v>2339</v>
      </c>
      <c r="AO33" s="21">
        <v>4861</v>
      </c>
      <c r="AP33" s="218"/>
      <c r="AQ33" s="25">
        <v>2490</v>
      </c>
      <c r="AR33" s="20">
        <v>536</v>
      </c>
      <c r="AS33" s="20">
        <v>3026</v>
      </c>
      <c r="AT33" s="20">
        <v>916</v>
      </c>
      <c r="AU33" s="20">
        <v>3942</v>
      </c>
      <c r="AV33" s="20">
        <v>1467</v>
      </c>
      <c r="AW33" s="21">
        <v>5409</v>
      </c>
      <c r="AX33" s="26"/>
      <c r="AY33" s="25">
        <v>206</v>
      </c>
      <c r="AZ33" s="20">
        <v>1216</v>
      </c>
      <c r="BA33" s="20">
        <v>1422</v>
      </c>
      <c r="BB33" s="20">
        <v>1546</v>
      </c>
      <c r="BC33" s="20">
        <v>2968</v>
      </c>
      <c r="BD33" s="20">
        <v>1988</v>
      </c>
      <c r="BE33" s="21">
        <v>4956</v>
      </c>
      <c r="BF33" s="26"/>
      <c r="BG33" s="25">
        <v>344</v>
      </c>
      <c r="BH33" s="20">
        <v>-2106</v>
      </c>
      <c r="BI33" s="20">
        <v>-1762</v>
      </c>
      <c r="BJ33" s="20">
        <v>-1958</v>
      </c>
      <c r="BK33" s="20">
        <v>-3720</v>
      </c>
      <c r="BL33" s="20">
        <v>-768</v>
      </c>
      <c r="BM33" s="21">
        <v>-4488</v>
      </c>
      <c r="BN33" s="26"/>
      <c r="BO33" s="25">
        <v>1150</v>
      </c>
      <c r="BP33" s="20">
        <v>1438</v>
      </c>
      <c r="BQ33" s="20">
        <v>2588</v>
      </c>
      <c r="BR33" s="20">
        <v>2245</v>
      </c>
      <c r="BS33" s="20">
        <v>4833</v>
      </c>
      <c r="BT33" s="20">
        <v>654</v>
      </c>
      <c r="BU33" s="21">
        <v>5487</v>
      </c>
      <c r="BV33" s="26"/>
      <c r="BW33" s="25">
        <v>-377</v>
      </c>
      <c r="BX33" s="20">
        <v>321</v>
      </c>
      <c r="BY33" s="20">
        <v>-56</v>
      </c>
      <c r="BZ33" s="20">
        <v>533</v>
      </c>
      <c r="CA33" s="20">
        <v>477</v>
      </c>
      <c r="CB33" s="20">
        <v>246</v>
      </c>
      <c r="CC33" s="21">
        <v>723</v>
      </c>
      <c r="CD33" s="26"/>
      <c r="CE33" s="25">
        <v>-155</v>
      </c>
      <c r="CF33" s="20">
        <v>-69</v>
      </c>
      <c r="CG33" s="20">
        <v>-224</v>
      </c>
      <c r="CH33" s="20">
        <v>138</v>
      </c>
      <c r="CI33" s="20">
        <v>-86</v>
      </c>
      <c r="CJ33" s="20">
        <v>-109</v>
      </c>
      <c r="CK33" s="21">
        <v>-195</v>
      </c>
      <c r="CL33" s="26"/>
      <c r="CM33" s="25">
        <v>-1450</v>
      </c>
      <c r="CN33" s="20">
        <v>-855</v>
      </c>
      <c r="CO33" s="20">
        <v>-2305</v>
      </c>
      <c r="CP33" s="20">
        <v>-481</v>
      </c>
      <c r="CQ33" s="20">
        <v>-2786</v>
      </c>
      <c r="CR33" s="20">
        <v>-460</v>
      </c>
      <c r="CS33" s="21">
        <v>-3246</v>
      </c>
    </row>
    <row r="34" spans="1:97" ht="15" customHeight="1" outlineLevel="1" x14ac:dyDescent="0.25">
      <c r="A34" s="34" t="s">
        <v>54</v>
      </c>
      <c r="B34" s="218"/>
      <c r="C34" s="218"/>
      <c r="D34" s="27"/>
      <c r="E34" s="408"/>
      <c r="F34" s="408"/>
      <c r="G34" s="408"/>
      <c r="H34" s="29"/>
      <c r="I34" s="408"/>
      <c r="J34" s="218"/>
      <c r="K34" s="27"/>
      <c r="L34" s="408"/>
      <c r="M34" s="449"/>
      <c r="N34" s="408"/>
      <c r="O34" s="449"/>
      <c r="P34" s="408"/>
      <c r="Q34" s="37"/>
      <c r="R34" s="218"/>
      <c r="S34" s="27"/>
      <c r="T34" s="28"/>
      <c r="U34" s="36"/>
      <c r="V34" s="28"/>
      <c r="W34" s="22"/>
      <c r="X34" s="28"/>
      <c r="Y34" s="37"/>
      <c r="Z34" s="218"/>
      <c r="AA34" s="27"/>
      <c r="AB34" s="28"/>
      <c r="AC34" s="36"/>
      <c r="AD34" s="28"/>
      <c r="AE34" s="22"/>
      <c r="AF34" s="28"/>
      <c r="AG34" s="37"/>
      <c r="AH34" s="218"/>
      <c r="AI34" s="27"/>
      <c r="AJ34" s="28"/>
      <c r="AK34" s="36"/>
      <c r="AL34" s="28"/>
      <c r="AM34" s="22"/>
      <c r="AN34" s="28"/>
      <c r="AO34" s="37"/>
      <c r="AP34" s="218"/>
      <c r="AQ34" s="27"/>
      <c r="AR34" s="28"/>
      <c r="AS34" s="36"/>
      <c r="AT34" s="28"/>
      <c r="AU34" s="22"/>
      <c r="AV34" s="28"/>
      <c r="AW34" s="37"/>
      <c r="AX34" s="26"/>
      <c r="AY34" s="27"/>
      <c r="AZ34" s="28"/>
      <c r="BA34" s="36"/>
      <c r="BB34" s="28"/>
      <c r="BC34" s="22"/>
      <c r="BD34" s="28"/>
      <c r="BE34" s="37"/>
      <c r="BF34" s="26"/>
      <c r="BG34" s="27"/>
      <c r="BH34" s="28"/>
      <c r="BI34" s="36"/>
      <c r="BJ34" s="28"/>
      <c r="BK34" s="22"/>
      <c r="BL34" s="28"/>
      <c r="BM34" s="37"/>
      <c r="BN34" s="26"/>
      <c r="BO34" s="27"/>
      <c r="BP34" s="28"/>
      <c r="BQ34" s="36"/>
      <c r="BR34" s="28"/>
      <c r="BS34" s="22"/>
      <c r="BT34" s="28"/>
      <c r="BU34" s="37"/>
      <c r="BV34" s="26"/>
      <c r="BW34" s="27"/>
      <c r="BX34" s="28"/>
      <c r="BY34" s="36"/>
      <c r="BZ34" s="28"/>
      <c r="CA34" s="22"/>
      <c r="CB34" s="28"/>
      <c r="CC34" s="37"/>
      <c r="CD34" s="26"/>
      <c r="CE34" s="27"/>
      <c r="CF34" s="28"/>
      <c r="CG34" s="36"/>
      <c r="CH34" s="28"/>
      <c r="CI34" s="22"/>
      <c r="CJ34" s="28"/>
      <c r="CK34" s="37"/>
      <c r="CL34" s="26"/>
      <c r="CM34" s="27"/>
      <c r="CN34" s="28"/>
      <c r="CO34" s="36"/>
      <c r="CP34" s="28"/>
      <c r="CQ34" s="22"/>
      <c r="CR34" s="28"/>
      <c r="CS34" s="37"/>
    </row>
    <row r="35" spans="1:97" ht="15" customHeight="1" outlineLevel="1" x14ac:dyDescent="0.25">
      <c r="A35" s="5" t="s">
        <v>21</v>
      </c>
      <c r="B35" s="218"/>
      <c r="C35" s="218"/>
      <c r="D35" s="27">
        <v>1441</v>
      </c>
      <c r="E35" s="408">
        <v>1166</v>
      </c>
      <c r="F35" s="408">
        <v>2607</v>
      </c>
      <c r="G35" s="408"/>
      <c r="H35" s="29"/>
      <c r="I35" s="408"/>
      <c r="J35" s="218"/>
      <c r="K35" s="27">
        <v>538</v>
      </c>
      <c r="L35" s="408">
        <v>610</v>
      </c>
      <c r="M35" s="405">
        <v>1148</v>
      </c>
      <c r="N35" s="408">
        <v>1209</v>
      </c>
      <c r="O35" s="405">
        <v>2357</v>
      </c>
      <c r="P35" s="408">
        <v>931</v>
      </c>
      <c r="Q35" s="23">
        <v>3288</v>
      </c>
      <c r="R35" s="218"/>
      <c r="S35" s="27">
        <v>118</v>
      </c>
      <c r="T35" s="28">
        <v>250</v>
      </c>
      <c r="U35" s="22">
        <v>368</v>
      </c>
      <c r="V35" s="28">
        <v>690</v>
      </c>
      <c r="W35" s="22">
        <v>1058</v>
      </c>
      <c r="X35" s="28">
        <v>-126</v>
      </c>
      <c r="Y35" s="23">
        <v>932</v>
      </c>
      <c r="Z35" s="218"/>
      <c r="AA35" s="27">
        <v>452</v>
      </c>
      <c r="AB35" s="28">
        <v>146</v>
      </c>
      <c r="AC35" s="22">
        <v>598</v>
      </c>
      <c r="AD35" s="28">
        <v>-178</v>
      </c>
      <c r="AE35" s="22">
        <v>420</v>
      </c>
      <c r="AF35" s="28">
        <v>-11</v>
      </c>
      <c r="AG35" s="23">
        <v>409</v>
      </c>
      <c r="AH35" s="218"/>
      <c r="AI35" s="27">
        <v>456</v>
      </c>
      <c r="AJ35" s="28">
        <v>557</v>
      </c>
      <c r="AK35" s="22">
        <v>1013</v>
      </c>
      <c r="AL35" s="28">
        <v>338</v>
      </c>
      <c r="AM35" s="22">
        <v>1351</v>
      </c>
      <c r="AN35" s="28">
        <v>-820</v>
      </c>
      <c r="AO35" s="23">
        <v>531</v>
      </c>
      <c r="AP35" s="218"/>
      <c r="AQ35" s="27">
        <v>1188</v>
      </c>
      <c r="AR35" s="28">
        <v>987</v>
      </c>
      <c r="AS35" s="22">
        <v>2175</v>
      </c>
      <c r="AT35" s="28">
        <v>439</v>
      </c>
      <c r="AU35" s="22">
        <v>2614</v>
      </c>
      <c r="AV35" s="28">
        <v>835</v>
      </c>
      <c r="AW35" s="23">
        <v>3449</v>
      </c>
      <c r="AX35" s="26"/>
      <c r="AY35" s="27">
        <v>86</v>
      </c>
      <c r="AZ35" s="28">
        <v>413</v>
      </c>
      <c r="BA35" s="22">
        <v>499</v>
      </c>
      <c r="BB35" s="28">
        <v>874</v>
      </c>
      <c r="BC35" s="22">
        <v>1373</v>
      </c>
      <c r="BD35" s="28">
        <v>1042</v>
      </c>
      <c r="BE35" s="23">
        <v>2415</v>
      </c>
      <c r="BF35" s="26"/>
      <c r="BG35" s="27">
        <v>141</v>
      </c>
      <c r="BH35" s="28">
        <v>-1360</v>
      </c>
      <c r="BI35" s="22">
        <v>-1219</v>
      </c>
      <c r="BJ35" s="28">
        <v>-918</v>
      </c>
      <c r="BK35" s="22">
        <v>-2137</v>
      </c>
      <c r="BL35" s="28">
        <v>-947</v>
      </c>
      <c r="BM35" s="23">
        <v>-3084</v>
      </c>
      <c r="BN35" s="26"/>
      <c r="BO35" s="27">
        <v>578</v>
      </c>
      <c r="BP35" s="28">
        <v>765</v>
      </c>
      <c r="BQ35" s="22">
        <v>1343</v>
      </c>
      <c r="BR35" s="28">
        <v>810</v>
      </c>
      <c r="BS35" s="22">
        <v>2153</v>
      </c>
      <c r="BT35" s="28">
        <v>221</v>
      </c>
      <c r="BU35" s="23">
        <v>2374</v>
      </c>
      <c r="BV35" s="26"/>
      <c r="BW35" s="27">
        <v>-206</v>
      </c>
      <c r="BX35" s="28">
        <v>101</v>
      </c>
      <c r="BY35" s="22">
        <v>-105</v>
      </c>
      <c r="BZ35" s="28">
        <v>352</v>
      </c>
      <c r="CA35" s="22">
        <v>247</v>
      </c>
      <c r="CB35" s="28">
        <v>271</v>
      </c>
      <c r="CC35" s="23">
        <v>518</v>
      </c>
      <c r="CD35" s="26"/>
      <c r="CE35" s="27">
        <v>-38</v>
      </c>
      <c r="CF35" s="28">
        <v>-116</v>
      </c>
      <c r="CG35" s="22">
        <v>-154</v>
      </c>
      <c r="CH35" s="28">
        <v>166</v>
      </c>
      <c r="CI35" s="22">
        <v>12</v>
      </c>
      <c r="CJ35" s="28">
        <v>-184</v>
      </c>
      <c r="CK35" s="23">
        <v>-172</v>
      </c>
      <c r="CL35" s="26"/>
      <c r="CM35" s="27">
        <v>0</v>
      </c>
      <c r="CN35" s="28">
        <v>-508</v>
      </c>
      <c r="CO35" s="22">
        <v>-508</v>
      </c>
      <c r="CP35" s="28">
        <v>-342</v>
      </c>
      <c r="CQ35" s="22">
        <v>-850</v>
      </c>
      <c r="CR35" s="28">
        <v>-309</v>
      </c>
      <c r="CS35" s="23">
        <v>-1159</v>
      </c>
    </row>
    <row r="36" spans="1:97" ht="15" customHeight="1" outlineLevel="1" x14ac:dyDescent="0.25">
      <c r="A36" s="5" t="s">
        <v>19</v>
      </c>
      <c r="B36" s="218"/>
      <c r="C36" s="218"/>
      <c r="D36" s="27">
        <v>0</v>
      </c>
      <c r="E36" s="408">
        <v>0</v>
      </c>
      <c r="F36" s="408">
        <v>0</v>
      </c>
      <c r="G36" s="408"/>
      <c r="H36" s="29"/>
      <c r="I36" s="408"/>
      <c r="J36" s="218"/>
      <c r="K36" s="27">
        <v>0</v>
      </c>
      <c r="L36" s="408">
        <v>0</v>
      </c>
      <c r="M36" s="405">
        <v>0</v>
      </c>
      <c r="N36" s="408">
        <v>0</v>
      </c>
      <c r="O36" s="405">
        <v>0</v>
      </c>
      <c r="P36" s="408">
        <v>0</v>
      </c>
      <c r="Q36" s="23">
        <v>0</v>
      </c>
      <c r="R36" s="218"/>
      <c r="S36" s="27">
        <v>0</v>
      </c>
      <c r="T36" s="28">
        <v>0</v>
      </c>
      <c r="U36" s="22">
        <v>0</v>
      </c>
      <c r="V36" s="28">
        <v>0</v>
      </c>
      <c r="W36" s="22">
        <v>0</v>
      </c>
      <c r="X36" s="28">
        <v>0</v>
      </c>
      <c r="Y36" s="23">
        <v>0</v>
      </c>
      <c r="Z36" s="218"/>
      <c r="AA36" s="27">
        <v>0</v>
      </c>
      <c r="AB36" s="28">
        <v>0</v>
      </c>
      <c r="AC36" s="22">
        <v>0</v>
      </c>
      <c r="AD36" s="28">
        <v>0</v>
      </c>
      <c r="AE36" s="22">
        <v>0</v>
      </c>
      <c r="AF36" s="28">
        <v>0</v>
      </c>
      <c r="AG36" s="23">
        <v>0</v>
      </c>
      <c r="AH36" s="218"/>
      <c r="AI36" s="27">
        <v>0</v>
      </c>
      <c r="AJ36" s="28">
        <v>0</v>
      </c>
      <c r="AK36" s="22">
        <v>0</v>
      </c>
      <c r="AL36" s="28">
        <v>0</v>
      </c>
      <c r="AM36" s="22">
        <v>0</v>
      </c>
      <c r="AN36" s="28">
        <v>0</v>
      </c>
      <c r="AO36" s="23">
        <v>0</v>
      </c>
      <c r="AP36" s="218"/>
      <c r="AQ36" s="27">
        <v>0</v>
      </c>
      <c r="AR36" s="28">
        <v>0</v>
      </c>
      <c r="AS36" s="22">
        <v>0</v>
      </c>
      <c r="AT36" s="28">
        <v>0</v>
      </c>
      <c r="AU36" s="22">
        <v>0</v>
      </c>
      <c r="AV36" s="28">
        <v>0</v>
      </c>
      <c r="AW36" s="23">
        <v>0</v>
      </c>
      <c r="AX36" s="26"/>
      <c r="AY36" s="27">
        <v>0</v>
      </c>
      <c r="AZ36" s="28">
        <v>0</v>
      </c>
      <c r="BA36" s="22">
        <v>0</v>
      </c>
      <c r="BB36" s="28">
        <v>0</v>
      </c>
      <c r="BC36" s="22">
        <v>0</v>
      </c>
      <c r="BD36" s="28">
        <v>0</v>
      </c>
      <c r="BE36" s="23">
        <v>0</v>
      </c>
      <c r="BF36" s="26"/>
      <c r="BG36" s="27">
        <v>3</v>
      </c>
      <c r="BH36" s="28">
        <v>1</v>
      </c>
      <c r="BI36" s="22">
        <v>4</v>
      </c>
      <c r="BJ36" s="28">
        <v>0</v>
      </c>
      <c r="BK36" s="22">
        <v>4</v>
      </c>
      <c r="BL36" s="28">
        <v>-4</v>
      </c>
      <c r="BM36" s="23">
        <v>0</v>
      </c>
      <c r="BN36" s="26"/>
      <c r="BO36" s="27">
        <v>0</v>
      </c>
      <c r="BP36" s="28">
        <v>0</v>
      </c>
      <c r="BQ36" s="22">
        <v>0</v>
      </c>
      <c r="BR36" s="28">
        <v>0</v>
      </c>
      <c r="BS36" s="22">
        <v>0</v>
      </c>
      <c r="BT36" s="28">
        <v>0</v>
      </c>
      <c r="BU36" s="23">
        <v>0</v>
      </c>
      <c r="BV36" s="26"/>
      <c r="BW36" s="27">
        <v>0</v>
      </c>
      <c r="BX36" s="28">
        <v>0</v>
      </c>
      <c r="BY36" s="22">
        <v>0</v>
      </c>
      <c r="BZ36" s="28">
        <v>0</v>
      </c>
      <c r="CA36" s="22">
        <v>0</v>
      </c>
      <c r="CB36" s="28">
        <v>0</v>
      </c>
      <c r="CC36" s="23">
        <v>0</v>
      </c>
      <c r="CD36" s="26"/>
      <c r="CE36" s="27">
        <v>0</v>
      </c>
      <c r="CF36" s="28">
        <v>0</v>
      </c>
      <c r="CG36" s="22">
        <v>0</v>
      </c>
      <c r="CH36" s="28">
        <v>0</v>
      </c>
      <c r="CI36" s="22">
        <v>0</v>
      </c>
      <c r="CJ36" s="28">
        <v>0</v>
      </c>
      <c r="CK36" s="23">
        <v>0</v>
      </c>
      <c r="CL36" s="26"/>
      <c r="CM36" s="27">
        <v>0</v>
      </c>
      <c r="CN36" s="28">
        <v>0</v>
      </c>
      <c r="CO36" s="22">
        <v>0</v>
      </c>
      <c r="CP36" s="28">
        <v>1</v>
      </c>
      <c r="CQ36" s="22">
        <v>1</v>
      </c>
      <c r="CR36" s="28">
        <v>-1</v>
      </c>
      <c r="CS36" s="23">
        <v>0</v>
      </c>
    </row>
    <row r="37" spans="1:97" ht="15" customHeight="1" outlineLevel="1" x14ac:dyDescent="0.25">
      <c r="A37" s="5" t="s">
        <v>20</v>
      </c>
      <c r="B37" s="218"/>
      <c r="C37" s="218"/>
      <c r="D37" s="27">
        <v>699</v>
      </c>
      <c r="E37" s="408">
        <v>661</v>
      </c>
      <c r="F37" s="408">
        <v>1360</v>
      </c>
      <c r="G37" s="408"/>
      <c r="H37" s="29"/>
      <c r="I37" s="408"/>
      <c r="J37" s="218"/>
      <c r="K37" s="27">
        <v>982</v>
      </c>
      <c r="L37" s="408">
        <v>918</v>
      </c>
      <c r="M37" s="405">
        <v>1900</v>
      </c>
      <c r="N37" s="408">
        <v>848</v>
      </c>
      <c r="O37" s="405">
        <v>2748</v>
      </c>
      <c r="P37" s="408">
        <v>800</v>
      </c>
      <c r="Q37" s="23">
        <v>3548</v>
      </c>
      <c r="R37" s="218"/>
      <c r="S37" s="27">
        <v>1080</v>
      </c>
      <c r="T37" s="28">
        <v>1077</v>
      </c>
      <c r="U37" s="22">
        <v>2157</v>
      </c>
      <c r="V37" s="28">
        <v>1121</v>
      </c>
      <c r="W37" s="22">
        <v>3278</v>
      </c>
      <c r="X37" s="28">
        <v>1086</v>
      </c>
      <c r="Y37" s="23">
        <v>4364</v>
      </c>
      <c r="Z37" s="218"/>
      <c r="AA37" s="27">
        <v>1012</v>
      </c>
      <c r="AB37" s="28">
        <v>1048</v>
      </c>
      <c r="AC37" s="22">
        <v>2060</v>
      </c>
      <c r="AD37" s="28">
        <v>1079</v>
      </c>
      <c r="AE37" s="22">
        <v>3139</v>
      </c>
      <c r="AF37" s="28">
        <v>1094</v>
      </c>
      <c r="AG37" s="23">
        <v>4233</v>
      </c>
      <c r="AH37" s="218"/>
      <c r="AI37" s="27">
        <v>988</v>
      </c>
      <c r="AJ37" s="28">
        <v>984</v>
      </c>
      <c r="AK37" s="22">
        <v>1972</v>
      </c>
      <c r="AL37" s="28">
        <v>1017</v>
      </c>
      <c r="AM37" s="22">
        <v>2989</v>
      </c>
      <c r="AN37" s="28">
        <v>1040</v>
      </c>
      <c r="AO37" s="23">
        <v>4029</v>
      </c>
      <c r="AP37" s="218"/>
      <c r="AQ37" s="27">
        <v>1045</v>
      </c>
      <c r="AR37" s="28">
        <v>1072</v>
      </c>
      <c r="AS37" s="22">
        <v>2117</v>
      </c>
      <c r="AT37" s="28">
        <v>1055</v>
      </c>
      <c r="AU37" s="22">
        <v>3172</v>
      </c>
      <c r="AV37" s="28">
        <v>1031</v>
      </c>
      <c r="AW37" s="23">
        <v>4203</v>
      </c>
      <c r="AX37" s="26"/>
      <c r="AY37" s="27">
        <v>1101</v>
      </c>
      <c r="AZ37" s="28">
        <v>1084</v>
      </c>
      <c r="BA37" s="22">
        <v>2185</v>
      </c>
      <c r="BB37" s="28">
        <v>1072</v>
      </c>
      <c r="BC37" s="22">
        <v>3257</v>
      </c>
      <c r="BD37" s="28">
        <v>1062</v>
      </c>
      <c r="BE37" s="23">
        <v>4319</v>
      </c>
      <c r="BF37" s="26"/>
      <c r="BG37" s="27">
        <v>1153</v>
      </c>
      <c r="BH37" s="28">
        <v>1137</v>
      </c>
      <c r="BI37" s="22">
        <v>2290</v>
      </c>
      <c r="BJ37" s="28">
        <v>1123</v>
      </c>
      <c r="BK37" s="22">
        <v>3413</v>
      </c>
      <c r="BL37" s="28">
        <v>1159</v>
      </c>
      <c r="BM37" s="23">
        <v>4572</v>
      </c>
      <c r="BN37" s="26"/>
      <c r="BO37" s="27">
        <v>1067</v>
      </c>
      <c r="BP37" s="28">
        <v>1058</v>
      </c>
      <c r="BQ37" s="22">
        <v>2125</v>
      </c>
      <c r="BR37" s="28">
        <v>1107</v>
      </c>
      <c r="BS37" s="22">
        <v>3232</v>
      </c>
      <c r="BT37" s="28">
        <v>1138</v>
      </c>
      <c r="BU37" s="23">
        <v>4370</v>
      </c>
      <c r="BV37" s="26"/>
      <c r="BW37" s="27">
        <v>1049</v>
      </c>
      <c r="BX37" s="28">
        <v>1154</v>
      </c>
      <c r="BY37" s="22">
        <v>2203</v>
      </c>
      <c r="BZ37" s="28">
        <v>1133</v>
      </c>
      <c r="CA37" s="22">
        <v>3336</v>
      </c>
      <c r="CB37" s="28">
        <v>1137</v>
      </c>
      <c r="CC37" s="23">
        <v>4473</v>
      </c>
      <c r="CD37" s="26"/>
      <c r="CE37" s="27">
        <v>1068</v>
      </c>
      <c r="CF37" s="28">
        <v>1083</v>
      </c>
      <c r="CG37" s="22">
        <v>2151</v>
      </c>
      <c r="CH37" s="28">
        <v>1073</v>
      </c>
      <c r="CI37" s="22">
        <v>3224</v>
      </c>
      <c r="CJ37" s="28">
        <v>1178</v>
      </c>
      <c r="CK37" s="23">
        <v>4402</v>
      </c>
      <c r="CL37" s="26"/>
      <c r="CM37" s="27">
        <v>0</v>
      </c>
      <c r="CN37" s="28">
        <v>1106</v>
      </c>
      <c r="CO37" s="22">
        <v>1106</v>
      </c>
      <c r="CP37" s="28">
        <v>1115</v>
      </c>
      <c r="CQ37" s="22">
        <v>2221</v>
      </c>
      <c r="CR37" s="28">
        <v>1119</v>
      </c>
      <c r="CS37" s="23">
        <v>3340</v>
      </c>
    </row>
    <row r="38" spans="1:97" ht="15" customHeight="1" outlineLevel="1" x14ac:dyDescent="0.25">
      <c r="A38" s="5" t="s">
        <v>55</v>
      </c>
      <c r="B38" s="218"/>
      <c r="C38" s="218"/>
      <c r="D38" s="27">
        <v>441</v>
      </c>
      <c r="E38" s="408">
        <v>467</v>
      </c>
      <c r="F38" s="408">
        <v>908</v>
      </c>
      <c r="G38" s="408"/>
      <c r="H38" s="29"/>
      <c r="I38" s="408"/>
      <c r="J38" s="218"/>
      <c r="K38" s="27">
        <v>406</v>
      </c>
      <c r="L38" s="408">
        <v>415</v>
      </c>
      <c r="M38" s="449">
        <v>821</v>
      </c>
      <c r="N38" s="408">
        <v>412</v>
      </c>
      <c r="O38" s="449">
        <v>1233</v>
      </c>
      <c r="P38" s="408">
        <v>428</v>
      </c>
      <c r="Q38" s="37">
        <v>1661</v>
      </c>
      <c r="R38" s="218"/>
      <c r="S38" s="27">
        <v>407</v>
      </c>
      <c r="T38" s="28">
        <v>390</v>
      </c>
      <c r="U38" s="36">
        <v>797</v>
      </c>
      <c r="V38" s="28">
        <v>388</v>
      </c>
      <c r="W38" s="22">
        <v>1185</v>
      </c>
      <c r="X38" s="28">
        <v>399</v>
      </c>
      <c r="Y38" s="37">
        <v>1584</v>
      </c>
      <c r="Z38" s="218"/>
      <c r="AA38" s="27">
        <v>343</v>
      </c>
      <c r="AB38" s="28">
        <v>373</v>
      </c>
      <c r="AC38" s="36">
        <v>716</v>
      </c>
      <c r="AD38" s="28">
        <v>414</v>
      </c>
      <c r="AE38" s="22">
        <v>1130</v>
      </c>
      <c r="AF38" s="28">
        <v>411</v>
      </c>
      <c r="AG38" s="37">
        <v>1541</v>
      </c>
      <c r="AH38" s="218"/>
      <c r="AI38" s="27">
        <v>599</v>
      </c>
      <c r="AJ38" s="28">
        <v>338</v>
      </c>
      <c r="AK38" s="36">
        <v>937</v>
      </c>
      <c r="AL38" s="28">
        <v>358</v>
      </c>
      <c r="AM38" s="22">
        <v>1295</v>
      </c>
      <c r="AN38" s="28">
        <v>362</v>
      </c>
      <c r="AO38" s="37">
        <v>1657</v>
      </c>
      <c r="AP38" s="218"/>
      <c r="AQ38" s="27">
        <v>653</v>
      </c>
      <c r="AR38" s="28">
        <v>650</v>
      </c>
      <c r="AS38" s="36">
        <v>1303</v>
      </c>
      <c r="AT38" s="28">
        <v>616</v>
      </c>
      <c r="AU38" s="22">
        <v>1919</v>
      </c>
      <c r="AV38" s="28">
        <v>834</v>
      </c>
      <c r="AW38" s="37">
        <v>2753</v>
      </c>
      <c r="AX38" s="26"/>
      <c r="AY38" s="27">
        <v>1593</v>
      </c>
      <c r="AZ38" s="28">
        <v>639</v>
      </c>
      <c r="BA38" s="36">
        <v>2232</v>
      </c>
      <c r="BB38" s="28">
        <v>649</v>
      </c>
      <c r="BC38" s="22">
        <v>2881</v>
      </c>
      <c r="BD38" s="28">
        <v>637</v>
      </c>
      <c r="BE38" s="37">
        <v>3518</v>
      </c>
      <c r="BF38" s="26"/>
      <c r="BG38" s="27">
        <v>1524</v>
      </c>
      <c r="BH38" s="28">
        <v>1559</v>
      </c>
      <c r="BI38" s="36">
        <v>3083</v>
      </c>
      <c r="BJ38" s="28">
        <v>1581</v>
      </c>
      <c r="BK38" s="22">
        <v>4664</v>
      </c>
      <c r="BL38" s="28">
        <v>1588</v>
      </c>
      <c r="BM38" s="37">
        <v>6252</v>
      </c>
      <c r="BN38" s="26"/>
      <c r="BO38" s="27">
        <v>1750</v>
      </c>
      <c r="BP38" s="28">
        <v>1470</v>
      </c>
      <c r="BQ38" s="36">
        <v>3220</v>
      </c>
      <c r="BR38" s="28">
        <v>1471</v>
      </c>
      <c r="BS38" s="22">
        <v>4691</v>
      </c>
      <c r="BT38" s="28">
        <v>1481</v>
      </c>
      <c r="BU38" s="37">
        <v>6172</v>
      </c>
      <c r="BV38" s="26"/>
      <c r="BW38" s="27">
        <v>1844</v>
      </c>
      <c r="BX38" s="28">
        <v>1718</v>
      </c>
      <c r="BY38" s="36">
        <v>3562</v>
      </c>
      <c r="BZ38" s="28">
        <v>1703</v>
      </c>
      <c r="CA38" s="22">
        <v>5265</v>
      </c>
      <c r="CB38" s="28">
        <v>1759</v>
      </c>
      <c r="CC38" s="37">
        <v>7024</v>
      </c>
      <c r="CD38" s="26"/>
      <c r="CE38" s="27">
        <v>1611</v>
      </c>
      <c r="CF38" s="28">
        <v>1620</v>
      </c>
      <c r="CG38" s="36">
        <v>3231</v>
      </c>
      <c r="CH38" s="28">
        <v>1552</v>
      </c>
      <c r="CI38" s="22">
        <v>4783</v>
      </c>
      <c r="CJ38" s="28">
        <v>1702</v>
      </c>
      <c r="CK38" s="37">
        <v>6485</v>
      </c>
      <c r="CL38" s="26"/>
      <c r="CM38" s="27">
        <v>0</v>
      </c>
      <c r="CN38" s="28">
        <v>1605</v>
      </c>
      <c r="CO38" s="36">
        <v>1605</v>
      </c>
      <c r="CP38" s="28">
        <v>1592</v>
      </c>
      <c r="CQ38" s="22">
        <v>3197</v>
      </c>
      <c r="CR38" s="28">
        <v>1964</v>
      </c>
      <c r="CS38" s="37">
        <v>5161</v>
      </c>
    </row>
    <row r="39" spans="1:97" s="163" customFormat="1" ht="15" customHeight="1" outlineLevel="1" x14ac:dyDescent="0.25">
      <c r="A39" s="5" t="s">
        <v>56</v>
      </c>
      <c r="B39" s="218"/>
      <c r="C39" s="218"/>
      <c r="D39" s="160">
        <v>20</v>
      </c>
      <c r="E39" s="409">
        <v>20</v>
      </c>
      <c r="F39" s="409">
        <v>40</v>
      </c>
      <c r="G39" s="409"/>
      <c r="H39" s="162"/>
      <c r="I39" s="409"/>
      <c r="J39" s="218"/>
      <c r="K39" s="160">
        <v>20</v>
      </c>
      <c r="L39" s="409">
        <v>21</v>
      </c>
      <c r="M39" s="425">
        <v>41</v>
      </c>
      <c r="N39" s="409">
        <v>20</v>
      </c>
      <c r="O39" s="425">
        <v>61</v>
      </c>
      <c r="P39" s="409">
        <v>20</v>
      </c>
      <c r="Q39" s="193">
        <v>81</v>
      </c>
      <c r="R39" s="218"/>
      <c r="S39" s="160">
        <v>21</v>
      </c>
      <c r="T39" s="161">
        <v>21</v>
      </c>
      <c r="U39" s="192">
        <v>42</v>
      </c>
      <c r="V39" s="161">
        <v>21</v>
      </c>
      <c r="W39" s="161">
        <v>63</v>
      </c>
      <c r="X39" s="161">
        <v>20</v>
      </c>
      <c r="Y39" s="193">
        <v>83</v>
      </c>
      <c r="Z39" s="218"/>
      <c r="AA39" s="160">
        <v>20</v>
      </c>
      <c r="AB39" s="161">
        <v>20</v>
      </c>
      <c r="AC39" s="192">
        <v>40</v>
      </c>
      <c r="AD39" s="161">
        <v>20</v>
      </c>
      <c r="AE39" s="161">
        <v>60</v>
      </c>
      <c r="AF39" s="161">
        <v>19</v>
      </c>
      <c r="AG39" s="193">
        <v>79</v>
      </c>
      <c r="AH39" s="218"/>
      <c r="AI39" s="160">
        <v>22</v>
      </c>
      <c r="AJ39" s="161">
        <v>21</v>
      </c>
      <c r="AK39" s="192">
        <v>43</v>
      </c>
      <c r="AL39" s="161">
        <v>21</v>
      </c>
      <c r="AM39" s="161">
        <v>64</v>
      </c>
      <c r="AN39" s="161">
        <v>21</v>
      </c>
      <c r="AO39" s="193">
        <v>85</v>
      </c>
      <c r="AP39" s="218"/>
      <c r="AQ39" s="160">
        <v>127</v>
      </c>
      <c r="AR39" s="161">
        <v>29</v>
      </c>
      <c r="AS39" s="192">
        <v>156</v>
      </c>
      <c r="AT39" s="161">
        <v>24</v>
      </c>
      <c r="AU39" s="161">
        <v>180</v>
      </c>
      <c r="AV39" s="161">
        <v>23</v>
      </c>
      <c r="AW39" s="193">
        <v>203</v>
      </c>
      <c r="AX39" s="165"/>
      <c r="AY39" s="160">
        <v>11</v>
      </c>
      <c r="AZ39" s="161">
        <v>58</v>
      </c>
      <c r="BA39" s="192">
        <v>69</v>
      </c>
      <c r="BB39" s="161">
        <v>57</v>
      </c>
      <c r="BC39" s="161">
        <v>126</v>
      </c>
      <c r="BD39" s="161">
        <v>57</v>
      </c>
      <c r="BE39" s="193">
        <v>183</v>
      </c>
      <c r="BF39" s="165"/>
      <c r="BG39" s="160">
        <v>68</v>
      </c>
      <c r="BH39" s="161">
        <v>67</v>
      </c>
      <c r="BI39" s="192">
        <v>135</v>
      </c>
      <c r="BJ39" s="161">
        <v>67</v>
      </c>
      <c r="BK39" s="161">
        <v>202</v>
      </c>
      <c r="BL39" s="161">
        <v>84</v>
      </c>
      <c r="BM39" s="193">
        <v>286</v>
      </c>
      <c r="BN39" s="165"/>
      <c r="BO39" s="160">
        <v>63</v>
      </c>
      <c r="BP39" s="161">
        <v>63</v>
      </c>
      <c r="BQ39" s="192">
        <v>126</v>
      </c>
      <c r="BR39" s="161">
        <v>61</v>
      </c>
      <c r="BS39" s="161">
        <v>187</v>
      </c>
      <c r="BT39" s="161">
        <v>62</v>
      </c>
      <c r="BU39" s="193">
        <v>249</v>
      </c>
      <c r="BV39" s="165"/>
      <c r="BW39" s="160">
        <v>67</v>
      </c>
      <c r="BX39" s="161">
        <v>66</v>
      </c>
      <c r="BY39" s="192">
        <v>133</v>
      </c>
      <c r="BZ39" s="161">
        <v>65</v>
      </c>
      <c r="CA39" s="161">
        <v>198</v>
      </c>
      <c r="CB39" s="161">
        <v>64</v>
      </c>
      <c r="CC39" s="193">
        <v>262</v>
      </c>
      <c r="CD39" s="165"/>
      <c r="CE39" s="160">
        <v>24</v>
      </c>
      <c r="CF39" s="161">
        <v>122</v>
      </c>
      <c r="CG39" s="192">
        <v>146</v>
      </c>
      <c r="CH39" s="161">
        <v>71</v>
      </c>
      <c r="CI39" s="161">
        <v>217</v>
      </c>
      <c r="CJ39" s="161">
        <v>68</v>
      </c>
      <c r="CK39" s="193">
        <v>285</v>
      </c>
      <c r="CL39" s="165"/>
      <c r="CM39" s="160">
        <v>0</v>
      </c>
      <c r="CN39" s="161">
        <v>92</v>
      </c>
      <c r="CO39" s="192">
        <v>92</v>
      </c>
      <c r="CP39" s="161">
        <v>82</v>
      </c>
      <c r="CQ39" s="161">
        <v>174</v>
      </c>
      <c r="CR39" s="161">
        <v>77</v>
      </c>
      <c r="CS39" s="193">
        <v>251</v>
      </c>
    </row>
    <row r="40" spans="1:97" s="14" customFormat="1" x14ac:dyDescent="0.25">
      <c r="A40" s="16" t="s">
        <v>57</v>
      </c>
      <c r="B40" s="218"/>
      <c r="C40" s="218"/>
      <c r="D40" s="25">
        <v>6076</v>
      </c>
      <c r="E40" s="406">
        <v>6413</v>
      </c>
      <c r="F40" s="406">
        <v>12489</v>
      </c>
      <c r="G40" s="406"/>
      <c r="H40" s="21"/>
      <c r="I40" s="406"/>
      <c r="J40" s="218"/>
      <c r="K40" s="25">
        <v>3554</v>
      </c>
      <c r="L40" s="406">
        <v>3816</v>
      </c>
      <c r="M40" s="406">
        <v>7370</v>
      </c>
      <c r="N40" s="406">
        <v>6148</v>
      </c>
      <c r="O40" s="406">
        <v>13518</v>
      </c>
      <c r="P40" s="406">
        <v>4962</v>
      </c>
      <c r="Q40" s="21">
        <v>18480</v>
      </c>
      <c r="R40" s="218"/>
      <c r="S40" s="25">
        <v>1779</v>
      </c>
      <c r="T40" s="20">
        <v>2075</v>
      </c>
      <c r="U40" s="20">
        <v>3854</v>
      </c>
      <c r="V40" s="20">
        <v>3134</v>
      </c>
      <c r="W40" s="20">
        <v>6988</v>
      </c>
      <c r="X40" s="20">
        <v>3105</v>
      </c>
      <c r="Y40" s="21">
        <v>10093</v>
      </c>
      <c r="Z40" s="218"/>
      <c r="AA40" s="25">
        <v>3145</v>
      </c>
      <c r="AB40" s="20">
        <v>2000</v>
      </c>
      <c r="AC40" s="20">
        <v>5145</v>
      </c>
      <c r="AD40" s="20">
        <v>886</v>
      </c>
      <c r="AE40" s="20">
        <v>6031</v>
      </c>
      <c r="AF40" s="20">
        <v>1392</v>
      </c>
      <c r="AG40" s="21">
        <v>7423</v>
      </c>
      <c r="AH40" s="218"/>
      <c r="AI40" s="25">
        <v>3089</v>
      </c>
      <c r="AJ40" s="20">
        <v>2713</v>
      </c>
      <c r="AK40" s="20">
        <v>5802</v>
      </c>
      <c r="AL40" s="20">
        <v>2419</v>
      </c>
      <c r="AM40" s="20">
        <v>8221</v>
      </c>
      <c r="AN40" s="20">
        <v>2942</v>
      </c>
      <c r="AO40" s="21">
        <v>11163</v>
      </c>
      <c r="AP40" s="218"/>
      <c r="AQ40" s="25">
        <v>5503</v>
      </c>
      <c r="AR40" s="20">
        <v>3274</v>
      </c>
      <c r="AS40" s="20">
        <v>8777</v>
      </c>
      <c r="AT40" s="20">
        <v>3050</v>
      </c>
      <c r="AU40" s="20">
        <v>11827</v>
      </c>
      <c r="AV40" s="20">
        <v>4190</v>
      </c>
      <c r="AW40" s="21">
        <v>16017</v>
      </c>
      <c r="AX40" s="26"/>
      <c r="AY40" s="25">
        <v>2997</v>
      </c>
      <c r="AZ40" s="20">
        <v>3410</v>
      </c>
      <c r="BA40" s="20">
        <v>6407</v>
      </c>
      <c r="BB40" s="20">
        <v>4198</v>
      </c>
      <c r="BC40" s="20">
        <v>10605</v>
      </c>
      <c r="BD40" s="20">
        <v>4786</v>
      </c>
      <c r="BE40" s="21">
        <v>15391</v>
      </c>
      <c r="BF40" s="26"/>
      <c r="BG40" s="25">
        <v>3233</v>
      </c>
      <c r="BH40" s="20">
        <v>-702</v>
      </c>
      <c r="BI40" s="20">
        <v>2531</v>
      </c>
      <c r="BJ40" s="20">
        <v>-105</v>
      </c>
      <c r="BK40" s="20">
        <v>2426</v>
      </c>
      <c r="BL40" s="20">
        <v>1112</v>
      </c>
      <c r="BM40" s="21">
        <v>3538</v>
      </c>
      <c r="BN40" s="26"/>
      <c r="BO40" s="25">
        <v>4608</v>
      </c>
      <c r="BP40" s="20">
        <v>4794</v>
      </c>
      <c r="BQ40" s="20">
        <v>9402</v>
      </c>
      <c r="BR40" s="20">
        <v>5694</v>
      </c>
      <c r="BS40" s="20">
        <v>15096</v>
      </c>
      <c r="BT40" s="20">
        <v>3556</v>
      </c>
      <c r="BU40" s="21">
        <v>18652</v>
      </c>
      <c r="BV40" s="26"/>
      <c r="BW40" s="25">
        <v>2377</v>
      </c>
      <c r="BX40" s="20">
        <v>3360</v>
      </c>
      <c r="BY40" s="20">
        <v>5737</v>
      </c>
      <c r="BZ40" s="20">
        <v>3786</v>
      </c>
      <c r="CA40" s="20">
        <v>9523</v>
      </c>
      <c r="CB40" s="20">
        <v>3477</v>
      </c>
      <c r="CC40" s="21">
        <v>13000</v>
      </c>
      <c r="CD40" s="26"/>
      <c r="CE40" s="25">
        <v>2510</v>
      </c>
      <c r="CF40" s="20">
        <v>2640</v>
      </c>
      <c r="CG40" s="20">
        <v>5150</v>
      </c>
      <c r="CH40" s="20">
        <v>3000</v>
      </c>
      <c r="CI40" s="20">
        <v>8150</v>
      </c>
      <c r="CJ40" s="20">
        <v>2655</v>
      </c>
      <c r="CK40" s="21">
        <v>10805</v>
      </c>
      <c r="CL40" s="26"/>
      <c r="CM40" s="25">
        <v>-1450</v>
      </c>
      <c r="CN40" s="20">
        <v>1440</v>
      </c>
      <c r="CO40" s="20">
        <v>-10</v>
      </c>
      <c r="CP40" s="20">
        <v>1967</v>
      </c>
      <c r="CQ40" s="20">
        <v>1957</v>
      </c>
      <c r="CR40" s="20">
        <v>2390</v>
      </c>
      <c r="CS40" s="21">
        <v>4347</v>
      </c>
    </row>
    <row r="41" spans="1:97" ht="15" customHeight="1" outlineLevel="1" x14ac:dyDescent="0.25">
      <c r="A41" s="5" t="s">
        <v>58</v>
      </c>
      <c r="B41" s="218"/>
      <c r="C41" s="218"/>
      <c r="D41" s="27">
        <v>0</v>
      </c>
      <c r="E41" s="408">
        <v>0</v>
      </c>
      <c r="F41" s="408">
        <v>0</v>
      </c>
      <c r="G41" s="408"/>
      <c r="H41" s="29"/>
      <c r="I41" s="408"/>
      <c r="J41" s="218"/>
      <c r="K41" s="27">
        <v>0</v>
      </c>
      <c r="L41" s="408">
        <v>0</v>
      </c>
      <c r="M41" s="449">
        <v>0</v>
      </c>
      <c r="N41" s="408">
        <v>0</v>
      </c>
      <c r="O41" s="449">
        <v>0</v>
      </c>
      <c r="P41" s="408">
        <v>0</v>
      </c>
      <c r="Q41" s="37">
        <v>0</v>
      </c>
      <c r="R41" s="218"/>
      <c r="S41" s="27">
        <v>0</v>
      </c>
      <c r="T41" s="28">
        <v>0</v>
      </c>
      <c r="U41" s="36">
        <v>0</v>
      </c>
      <c r="V41" s="28">
        <v>0</v>
      </c>
      <c r="W41" s="22">
        <v>0</v>
      </c>
      <c r="X41" s="28">
        <v>0</v>
      </c>
      <c r="Y41" s="37">
        <v>0</v>
      </c>
      <c r="Z41" s="218"/>
      <c r="AA41" s="27">
        <v>57</v>
      </c>
      <c r="AB41" s="28">
        <v>2</v>
      </c>
      <c r="AC41" s="36">
        <v>59</v>
      </c>
      <c r="AD41" s="28">
        <v>0</v>
      </c>
      <c r="AE41" s="22">
        <v>59</v>
      </c>
      <c r="AF41" s="28">
        <v>33</v>
      </c>
      <c r="AG41" s="37">
        <v>92</v>
      </c>
      <c r="AH41" s="218"/>
      <c r="AI41" s="27">
        <v>3</v>
      </c>
      <c r="AJ41" s="28">
        <v>26</v>
      </c>
      <c r="AK41" s="36">
        <v>29</v>
      </c>
      <c r="AL41" s="28">
        <v>17</v>
      </c>
      <c r="AM41" s="22">
        <v>46</v>
      </c>
      <c r="AN41" s="28">
        <v>0</v>
      </c>
      <c r="AO41" s="37">
        <v>46</v>
      </c>
      <c r="AP41" s="218"/>
      <c r="AQ41" s="27">
        <v>0</v>
      </c>
      <c r="AR41" s="28">
        <v>0</v>
      </c>
      <c r="AS41" s="36">
        <v>0</v>
      </c>
      <c r="AT41" s="28">
        <v>48</v>
      </c>
      <c r="AU41" s="22">
        <v>48</v>
      </c>
      <c r="AV41" s="28">
        <v>0</v>
      </c>
      <c r="AW41" s="37">
        <v>48</v>
      </c>
      <c r="AX41" s="26"/>
      <c r="AY41" s="27">
        <v>7</v>
      </c>
      <c r="AZ41" s="28">
        <v>0</v>
      </c>
      <c r="BA41" s="36">
        <v>7</v>
      </c>
      <c r="BB41" s="28">
        <v>0</v>
      </c>
      <c r="BC41" s="22">
        <v>7</v>
      </c>
      <c r="BD41" s="28">
        <v>18</v>
      </c>
      <c r="BE41" s="37">
        <v>25</v>
      </c>
      <c r="BF41" s="26"/>
      <c r="BG41" s="27">
        <v>0</v>
      </c>
      <c r="BH41" s="28">
        <v>17</v>
      </c>
      <c r="BI41" s="36">
        <v>17</v>
      </c>
      <c r="BJ41" s="28">
        <v>0</v>
      </c>
      <c r="BK41" s="22">
        <v>17</v>
      </c>
      <c r="BL41" s="28">
        <v>0</v>
      </c>
      <c r="BM41" s="37">
        <v>17</v>
      </c>
      <c r="BN41" s="26"/>
      <c r="BO41" s="27">
        <v>0</v>
      </c>
      <c r="BP41" s="28">
        <v>0</v>
      </c>
      <c r="BQ41" s="36">
        <v>0</v>
      </c>
      <c r="BR41" s="28">
        <v>0</v>
      </c>
      <c r="BS41" s="22">
        <v>0</v>
      </c>
      <c r="BT41" s="28">
        <v>0</v>
      </c>
      <c r="BU41" s="37">
        <v>0</v>
      </c>
      <c r="BV41" s="26"/>
      <c r="BW41" s="27">
        <v>10</v>
      </c>
      <c r="BX41" s="28">
        <v>-80</v>
      </c>
      <c r="BY41" s="36">
        <v>-70</v>
      </c>
      <c r="BZ41" s="28">
        <v>51</v>
      </c>
      <c r="CA41" s="22">
        <v>-19</v>
      </c>
      <c r="CB41" s="28">
        <v>0</v>
      </c>
      <c r="CC41" s="37">
        <v>-19</v>
      </c>
      <c r="CD41" s="26"/>
      <c r="CE41" s="27">
        <v>1</v>
      </c>
      <c r="CF41" s="28">
        <v>0</v>
      </c>
      <c r="CG41" s="36">
        <v>1</v>
      </c>
      <c r="CH41" s="28">
        <v>7</v>
      </c>
      <c r="CI41" s="22">
        <v>8</v>
      </c>
      <c r="CJ41" s="28">
        <v>15</v>
      </c>
      <c r="CK41" s="37">
        <v>23</v>
      </c>
      <c r="CL41" s="26"/>
      <c r="CM41" s="27">
        <v>0</v>
      </c>
      <c r="CN41" s="28">
        <v>0</v>
      </c>
      <c r="CO41" s="36">
        <v>0</v>
      </c>
      <c r="CP41" s="28">
        <v>0</v>
      </c>
      <c r="CQ41" s="22">
        <v>0</v>
      </c>
      <c r="CR41" s="28">
        <v>0</v>
      </c>
      <c r="CS41" s="37">
        <v>0</v>
      </c>
    </row>
    <row r="42" spans="1:97" ht="15" customHeight="1" outlineLevel="1" x14ac:dyDescent="0.25">
      <c r="A42" s="5" t="s">
        <v>59</v>
      </c>
      <c r="B42" s="218"/>
      <c r="C42" s="218"/>
      <c r="D42" s="27">
        <v>7</v>
      </c>
      <c r="E42" s="408">
        <v>7</v>
      </c>
      <c r="F42" s="408">
        <v>14</v>
      </c>
      <c r="G42" s="408"/>
      <c r="H42" s="29"/>
      <c r="I42" s="408"/>
      <c r="J42" s="218"/>
      <c r="K42" s="27">
        <v>7</v>
      </c>
      <c r="L42" s="408">
        <v>7</v>
      </c>
      <c r="M42" s="449">
        <v>14</v>
      </c>
      <c r="N42" s="408">
        <v>8</v>
      </c>
      <c r="O42" s="449">
        <v>22</v>
      </c>
      <c r="P42" s="408">
        <v>7</v>
      </c>
      <c r="Q42" s="37">
        <v>29</v>
      </c>
      <c r="R42" s="218"/>
      <c r="S42" s="27">
        <v>9</v>
      </c>
      <c r="T42" s="28">
        <v>9</v>
      </c>
      <c r="U42" s="36">
        <v>18</v>
      </c>
      <c r="V42" s="28">
        <v>-33</v>
      </c>
      <c r="W42" s="22">
        <v>-15</v>
      </c>
      <c r="X42" s="28">
        <v>7</v>
      </c>
      <c r="Y42" s="37">
        <v>-8</v>
      </c>
      <c r="Z42" s="218"/>
      <c r="AA42" s="27">
        <v>19</v>
      </c>
      <c r="AB42" s="28">
        <v>9</v>
      </c>
      <c r="AC42" s="36">
        <v>28</v>
      </c>
      <c r="AD42" s="28">
        <v>9</v>
      </c>
      <c r="AE42" s="22">
        <v>37</v>
      </c>
      <c r="AF42" s="28">
        <v>8</v>
      </c>
      <c r="AG42" s="37">
        <v>45</v>
      </c>
      <c r="AH42" s="218"/>
      <c r="AI42" s="27">
        <v>-15</v>
      </c>
      <c r="AJ42" s="28">
        <v>12</v>
      </c>
      <c r="AK42" s="36">
        <v>-3</v>
      </c>
      <c r="AL42" s="28">
        <v>10</v>
      </c>
      <c r="AM42" s="22">
        <v>7</v>
      </c>
      <c r="AN42" s="28">
        <v>10</v>
      </c>
      <c r="AO42" s="37">
        <v>17</v>
      </c>
      <c r="AP42" s="218"/>
      <c r="AQ42" s="27">
        <v>298</v>
      </c>
      <c r="AR42" s="28">
        <v>14</v>
      </c>
      <c r="AS42" s="36">
        <v>312</v>
      </c>
      <c r="AT42" s="28">
        <v>15</v>
      </c>
      <c r="AU42" s="22">
        <v>327</v>
      </c>
      <c r="AV42" s="28">
        <v>15</v>
      </c>
      <c r="AW42" s="37">
        <v>342</v>
      </c>
      <c r="AX42" s="26"/>
      <c r="AY42" s="27">
        <v>94</v>
      </c>
      <c r="AZ42" s="28">
        <v>31</v>
      </c>
      <c r="BA42" s="36">
        <v>125</v>
      </c>
      <c r="BB42" s="28">
        <v>31</v>
      </c>
      <c r="BC42" s="22">
        <v>156</v>
      </c>
      <c r="BD42" s="28">
        <v>44</v>
      </c>
      <c r="BE42" s="37">
        <v>200</v>
      </c>
      <c r="BF42" s="26"/>
      <c r="BG42" s="27">
        <v>110</v>
      </c>
      <c r="BH42" s="28">
        <v>91</v>
      </c>
      <c r="BI42" s="36">
        <v>201</v>
      </c>
      <c r="BJ42" s="28">
        <v>101</v>
      </c>
      <c r="BK42" s="22">
        <v>302</v>
      </c>
      <c r="BL42" s="28">
        <v>69</v>
      </c>
      <c r="BM42" s="37">
        <v>371</v>
      </c>
      <c r="BN42" s="26"/>
      <c r="BO42" s="27">
        <v>100</v>
      </c>
      <c r="BP42" s="28">
        <v>99</v>
      </c>
      <c r="BQ42" s="36">
        <v>199</v>
      </c>
      <c r="BR42" s="28">
        <v>91</v>
      </c>
      <c r="BS42" s="22">
        <v>290</v>
      </c>
      <c r="BT42" s="28">
        <v>101</v>
      </c>
      <c r="BU42" s="37">
        <v>391</v>
      </c>
      <c r="BV42" s="26"/>
      <c r="BW42" s="27">
        <v>68</v>
      </c>
      <c r="BX42" s="28">
        <v>68</v>
      </c>
      <c r="BY42" s="36">
        <v>136</v>
      </c>
      <c r="BZ42" s="28">
        <v>82</v>
      </c>
      <c r="CA42" s="22">
        <v>218</v>
      </c>
      <c r="CB42" s="28">
        <v>83</v>
      </c>
      <c r="CC42" s="37">
        <v>301</v>
      </c>
      <c r="CD42" s="26"/>
      <c r="CE42" s="27">
        <v>65</v>
      </c>
      <c r="CF42" s="28">
        <v>65</v>
      </c>
      <c r="CG42" s="36">
        <v>130</v>
      </c>
      <c r="CH42" s="28">
        <v>65</v>
      </c>
      <c r="CI42" s="22">
        <v>195</v>
      </c>
      <c r="CJ42" s="28">
        <v>92</v>
      </c>
      <c r="CK42" s="37">
        <v>287</v>
      </c>
      <c r="CL42" s="26"/>
      <c r="CM42" s="27">
        <v>0</v>
      </c>
      <c r="CN42" s="28">
        <v>0</v>
      </c>
      <c r="CO42" s="36">
        <v>0</v>
      </c>
      <c r="CP42" s="28">
        <v>0</v>
      </c>
      <c r="CQ42" s="22">
        <v>0</v>
      </c>
      <c r="CR42" s="28">
        <v>0</v>
      </c>
      <c r="CS42" s="37">
        <v>0</v>
      </c>
    </row>
    <row r="43" spans="1:97" ht="15" customHeight="1" outlineLevel="1" x14ac:dyDescent="0.25">
      <c r="A43" s="5" t="s">
        <v>71</v>
      </c>
      <c r="B43" s="218"/>
      <c r="C43" s="218"/>
      <c r="D43" s="27">
        <v>0</v>
      </c>
      <c r="E43" s="408">
        <v>0</v>
      </c>
      <c r="F43" s="408">
        <v>0</v>
      </c>
      <c r="G43" s="408"/>
      <c r="H43" s="29"/>
      <c r="I43" s="408"/>
      <c r="J43" s="218"/>
      <c r="K43" s="27">
        <v>0</v>
      </c>
      <c r="L43" s="408">
        <v>0</v>
      </c>
      <c r="M43" s="408">
        <v>0</v>
      </c>
      <c r="N43" s="408">
        <v>0</v>
      </c>
      <c r="O43" s="408">
        <v>0</v>
      </c>
      <c r="P43" s="408">
        <v>0</v>
      </c>
      <c r="Q43" s="29">
        <v>0</v>
      </c>
      <c r="R43" s="218"/>
      <c r="S43" s="27">
        <v>0</v>
      </c>
      <c r="T43" s="28">
        <v>0</v>
      </c>
      <c r="U43" s="28">
        <v>0</v>
      </c>
      <c r="V43" s="28">
        <v>0</v>
      </c>
      <c r="W43" s="28">
        <v>0</v>
      </c>
      <c r="X43" s="28">
        <v>0</v>
      </c>
      <c r="Y43" s="29">
        <v>0</v>
      </c>
      <c r="Z43" s="218"/>
      <c r="AA43" s="27">
        <v>0</v>
      </c>
      <c r="AB43" s="28">
        <v>0</v>
      </c>
      <c r="AC43" s="28">
        <v>0</v>
      </c>
      <c r="AD43" s="28">
        <v>0</v>
      </c>
      <c r="AE43" s="28">
        <v>0</v>
      </c>
      <c r="AF43" s="28">
        <v>0</v>
      </c>
      <c r="AG43" s="29">
        <v>0</v>
      </c>
      <c r="AH43" s="218"/>
      <c r="AI43" s="27">
        <v>0</v>
      </c>
      <c r="AJ43" s="28">
        <v>0</v>
      </c>
      <c r="AK43" s="28">
        <v>0</v>
      </c>
      <c r="AL43" s="28">
        <v>0</v>
      </c>
      <c r="AM43" s="28">
        <v>0</v>
      </c>
      <c r="AN43" s="28">
        <v>0</v>
      </c>
      <c r="AO43" s="29">
        <v>0</v>
      </c>
      <c r="AP43" s="218"/>
      <c r="AQ43" s="27">
        <v>0</v>
      </c>
      <c r="AR43" s="28">
        <v>0</v>
      </c>
      <c r="AS43" s="28">
        <v>0</v>
      </c>
      <c r="AT43" s="28">
        <v>0</v>
      </c>
      <c r="AU43" s="28">
        <v>0</v>
      </c>
      <c r="AV43" s="28">
        <v>0</v>
      </c>
      <c r="AW43" s="29">
        <v>0</v>
      </c>
      <c r="AX43" s="26"/>
      <c r="AY43" s="27">
        <v>0</v>
      </c>
      <c r="AZ43" s="28">
        <v>0</v>
      </c>
      <c r="BA43" s="28">
        <v>0</v>
      </c>
      <c r="BB43" s="28">
        <v>0</v>
      </c>
      <c r="BC43" s="28">
        <v>0</v>
      </c>
      <c r="BD43" s="28">
        <v>0</v>
      </c>
      <c r="BE43" s="29">
        <v>0</v>
      </c>
      <c r="BF43" s="26"/>
      <c r="BG43" s="27">
        <v>0</v>
      </c>
      <c r="BH43" s="28">
        <v>0</v>
      </c>
      <c r="BI43" s="28">
        <v>0</v>
      </c>
      <c r="BJ43" s="28">
        <v>0</v>
      </c>
      <c r="BK43" s="28">
        <v>0</v>
      </c>
      <c r="BL43" s="28">
        <v>0</v>
      </c>
      <c r="BM43" s="29">
        <v>0</v>
      </c>
      <c r="BN43" s="26"/>
      <c r="BO43" s="27">
        <v>0</v>
      </c>
      <c r="BP43" s="28">
        <v>0</v>
      </c>
      <c r="BQ43" s="28">
        <v>0</v>
      </c>
      <c r="BR43" s="28">
        <v>0</v>
      </c>
      <c r="BS43" s="28">
        <v>0</v>
      </c>
      <c r="BT43" s="28">
        <v>0</v>
      </c>
      <c r="BU43" s="29">
        <v>0</v>
      </c>
      <c r="BV43" s="26"/>
      <c r="BW43" s="27">
        <v>0</v>
      </c>
      <c r="BX43" s="28">
        <v>0</v>
      </c>
      <c r="BY43" s="28">
        <v>0</v>
      </c>
      <c r="BZ43" s="28">
        <v>0</v>
      </c>
      <c r="CA43" s="28">
        <v>0</v>
      </c>
      <c r="CB43" s="28">
        <v>0</v>
      </c>
      <c r="CC43" s="29">
        <v>0</v>
      </c>
      <c r="CD43" s="26"/>
      <c r="CE43" s="27">
        <v>0</v>
      </c>
      <c r="CF43" s="28">
        <v>0</v>
      </c>
      <c r="CG43" s="28">
        <v>0</v>
      </c>
      <c r="CH43" s="28">
        <v>0</v>
      </c>
      <c r="CI43" s="28">
        <v>0</v>
      </c>
      <c r="CJ43" s="28">
        <v>0</v>
      </c>
      <c r="CK43" s="29">
        <v>0</v>
      </c>
      <c r="CL43" s="26"/>
      <c r="CM43" s="27">
        <v>0</v>
      </c>
      <c r="CN43" s="28">
        <v>0</v>
      </c>
      <c r="CO43" s="28">
        <v>0</v>
      </c>
      <c r="CP43" s="28">
        <v>0</v>
      </c>
      <c r="CQ43" s="28">
        <v>0</v>
      </c>
      <c r="CR43" s="28">
        <v>0</v>
      </c>
      <c r="CS43" s="29">
        <v>0</v>
      </c>
    </row>
    <row r="44" spans="1:97" ht="15" customHeight="1" outlineLevel="1" x14ac:dyDescent="0.25">
      <c r="A44" s="5" t="s">
        <v>61</v>
      </c>
      <c r="B44" s="218"/>
      <c r="C44" s="218"/>
      <c r="D44" s="27">
        <v>0</v>
      </c>
      <c r="E44" s="408">
        <v>0</v>
      </c>
      <c r="F44" s="408">
        <v>0</v>
      </c>
      <c r="G44" s="408"/>
      <c r="H44" s="29"/>
      <c r="I44" s="408"/>
      <c r="J44" s="218"/>
      <c r="K44" s="27">
        <v>0</v>
      </c>
      <c r="L44" s="408">
        <v>0</v>
      </c>
      <c r="M44" s="449">
        <v>0</v>
      </c>
      <c r="N44" s="408">
        <v>0</v>
      </c>
      <c r="O44" s="449">
        <v>0</v>
      </c>
      <c r="P44" s="408">
        <v>0</v>
      </c>
      <c r="Q44" s="37">
        <v>0</v>
      </c>
      <c r="R44" s="218"/>
      <c r="S44" s="27">
        <v>0</v>
      </c>
      <c r="T44" s="28">
        <v>0</v>
      </c>
      <c r="U44" s="36">
        <v>0</v>
      </c>
      <c r="V44" s="28">
        <v>0</v>
      </c>
      <c r="W44" s="22">
        <v>0</v>
      </c>
      <c r="X44" s="28">
        <v>0</v>
      </c>
      <c r="Y44" s="37">
        <v>0</v>
      </c>
      <c r="Z44" s="218"/>
      <c r="AA44" s="27">
        <v>0</v>
      </c>
      <c r="AB44" s="28">
        <v>0</v>
      </c>
      <c r="AC44" s="36">
        <v>0</v>
      </c>
      <c r="AD44" s="28">
        <v>0</v>
      </c>
      <c r="AE44" s="22">
        <v>0</v>
      </c>
      <c r="AF44" s="28">
        <v>0</v>
      </c>
      <c r="AG44" s="37">
        <v>0</v>
      </c>
      <c r="AH44" s="218"/>
      <c r="AI44" s="27">
        <v>0</v>
      </c>
      <c r="AJ44" s="28">
        <v>0</v>
      </c>
      <c r="AK44" s="36">
        <v>0</v>
      </c>
      <c r="AL44" s="28">
        <v>0</v>
      </c>
      <c r="AM44" s="22">
        <v>0</v>
      </c>
      <c r="AN44" s="28">
        <v>0</v>
      </c>
      <c r="AO44" s="37">
        <v>0</v>
      </c>
      <c r="AP44" s="218"/>
      <c r="AQ44" s="27">
        <v>0</v>
      </c>
      <c r="AR44" s="28">
        <v>0</v>
      </c>
      <c r="AS44" s="36">
        <v>0</v>
      </c>
      <c r="AT44" s="28">
        <v>0</v>
      </c>
      <c r="AU44" s="22">
        <v>0</v>
      </c>
      <c r="AV44" s="28">
        <v>0</v>
      </c>
      <c r="AW44" s="37">
        <v>0</v>
      </c>
      <c r="AX44" s="26"/>
      <c r="AY44" s="27">
        <v>0</v>
      </c>
      <c r="AZ44" s="28">
        <v>0</v>
      </c>
      <c r="BA44" s="36">
        <v>0</v>
      </c>
      <c r="BB44" s="28">
        <v>0</v>
      </c>
      <c r="BC44" s="22">
        <v>0</v>
      </c>
      <c r="BD44" s="28">
        <v>0</v>
      </c>
      <c r="BE44" s="37">
        <v>0</v>
      </c>
      <c r="BF44" s="26"/>
      <c r="BG44" s="27">
        <v>0</v>
      </c>
      <c r="BH44" s="28">
        <v>0</v>
      </c>
      <c r="BI44" s="36">
        <v>0</v>
      </c>
      <c r="BJ44" s="28">
        <v>0</v>
      </c>
      <c r="BK44" s="22">
        <v>0</v>
      </c>
      <c r="BL44" s="28">
        <v>0</v>
      </c>
      <c r="BM44" s="37">
        <v>0</v>
      </c>
      <c r="BN44" s="26"/>
      <c r="BO44" s="27">
        <v>0</v>
      </c>
      <c r="BP44" s="28">
        <v>0</v>
      </c>
      <c r="BQ44" s="36">
        <v>0</v>
      </c>
      <c r="BR44" s="28">
        <v>0</v>
      </c>
      <c r="BS44" s="22">
        <v>0</v>
      </c>
      <c r="BT44" s="28">
        <v>0</v>
      </c>
      <c r="BU44" s="37">
        <v>0</v>
      </c>
      <c r="BV44" s="26"/>
      <c r="BW44" s="27">
        <v>0</v>
      </c>
      <c r="BX44" s="28">
        <v>0</v>
      </c>
      <c r="BY44" s="36">
        <v>0</v>
      </c>
      <c r="BZ44" s="28">
        <v>0</v>
      </c>
      <c r="CA44" s="22">
        <v>0</v>
      </c>
      <c r="CB44" s="28">
        <v>0</v>
      </c>
      <c r="CC44" s="37">
        <v>0</v>
      </c>
      <c r="CD44" s="26"/>
      <c r="CE44" s="27">
        <v>0</v>
      </c>
      <c r="CF44" s="28">
        <v>0</v>
      </c>
      <c r="CG44" s="36">
        <v>0</v>
      </c>
      <c r="CH44" s="28">
        <v>0</v>
      </c>
      <c r="CI44" s="22">
        <v>0</v>
      </c>
      <c r="CJ44" s="28">
        <v>0</v>
      </c>
      <c r="CK44" s="37">
        <v>0</v>
      </c>
      <c r="CL44" s="26"/>
      <c r="CM44" s="27">
        <v>0</v>
      </c>
      <c r="CN44" s="28">
        <v>65</v>
      </c>
      <c r="CO44" s="36">
        <v>65</v>
      </c>
      <c r="CP44" s="28">
        <v>65</v>
      </c>
      <c r="CQ44" s="22">
        <v>130</v>
      </c>
      <c r="CR44" s="28">
        <v>65</v>
      </c>
      <c r="CS44" s="37">
        <v>195</v>
      </c>
    </row>
    <row r="45" spans="1:97" ht="15" customHeight="1" outlineLevel="1" x14ac:dyDescent="0.25">
      <c r="A45" s="5" t="s">
        <v>62</v>
      </c>
      <c r="B45" s="218"/>
      <c r="C45" s="218"/>
      <c r="D45" s="27">
        <v>0</v>
      </c>
      <c r="E45" s="408">
        <v>0</v>
      </c>
      <c r="F45" s="408">
        <v>0</v>
      </c>
      <c r="G45" s="408"/>
      <c r="H45" s="29"/>
      <c r="I45" s="408"/>
      <c r="J45" s="218"/>
      <c r="K45" s="27">
        <v>0</v>
      </c>
      <c r="L45" s="408">
        <v>0</v>
      </c>
      <c r="M45" s="449">
        <v>0</v>
      </c>
      <c r="N45" s="408">
        <v>0</v>
      </c>
      <c r="O45" s="449">
        <v>0</v>
      </c>
      <c r="P45" s="408">
        <v>0</v>
      </c>
      <c r="Q45" s="37">
        <v>0</v>
      </c>
      <c r="R45" s="218"/>
      <c r="S45" s="27">
        <v>0</v>
      </c>
      <c r="T45" s="28">
        <v>0</v>
      </c>
      <c r="U45" s="36">
        <v>0</v>
      </c>
      <c r="V45" s="28">
        <v>0</v>
      </c>
      <c r="W45" s="22">
        <v>0</v>
      </c>
      <c r="X45" s="28">
        <v>0</v>
      </c>
      <c r="Y45" s="37">
        <v>0</v>
      </c>
      <c r="Z45" s="218"/>
      <c r="AA45" s="27">
        <v>0</v>
      </c>
      <c r="AB45" s="28">
        <v>0</v>
      </c>
      <c r="AC45" s="36">
        <v>0</v>
      </c>
      <c r="AD45" s="28">
        <v>0</v>
      </c>
      <c r="AE45" s="22">
        <v>0</v>
      </c>
      <c r="AF45" s="28">
        <v>0</v>
      </c>
      <c r="AG45" s="37">
        <v>0</v>
      </c>
      <c r="AH45" s="218"/>
      <c r="AI45" s="27">
        <v>0</v>
      </c>
      <c r="AJ45" s="28">
        <v>0</v>
      </c>
      <c r="AK45" s="36">
        <v>0</v>
      </c>
      <c r="AL45" s="28">
        <v>0</v>
      </c>
      <c r="AM45" s="22">
        <v>0</v>
      </c>
      <c r="AN45" s="28">
        <v>0</v>
      </c>
      <c r="AO45" s="37">
        <v>0</v>
      </c>
      <c r="AP45" s="218"/>
      <c r="AQ45" s="27">
        <v>0</v>
      </c>
      <c r="AR45" s="28">
        <v>0</v>
      </c>
      <c r="AS45" s="36">
        <v>0</v>
      </c>
      <c r="AT45" s="28">
        <v>0</v>
      </c>
      <c r="AU45" s="22">
        <v>0</v>
      </c>
      <c r="AV45" s="28">
        <v>0</v>
      </c>
      <c r="AW45" s="37">
        <v>0</v>
      </c>
      <c r="AX45" s="26"/>
      <c r="AY45" s="27">
        <v>0</v>
      </c>
      <c r="AZ45" s="28">
        <v>0</v>
      </c>
      <c r="BA45" s="36">
        <v>0</v>
      </c>
      <c r="BB45" s="28">
        <v>0</v>
      </c>
      <c r="BC45" s="22">
        <v>0</v>
      </c>
      <c r="BD45" s="28">
        <v>0</v>
      </c>
      <c r="BE45" s="37">
        <v>0</v>
      </c>
      <c r="BF45" s="26"/>
      <c r="BG45" s="27">
        <v>0</v>
      </c>
      <c r="BH45" s="28">
        <v>96</v>
      </c>
      <c r="BI45" s="36">
        <v>96</v>
      </c>
      <c r="BJ45" s="28">
        <v>0</v>
      </c>
      <c r="BK45" s="22">
        <v>96</v>
      </c>
      <c r="BL45" s="28">
        <v>0</v>
      </c>
      <c r="BM45" s="37">
        <v>96</v>
      </c>
      <c r="BN45" s="26"/>
      <c r="BO45" s="27">
        <v>0</v>
      </c>
      <c r="BP45" s="28">
        <v>0</v>
      </c>
      <c r="BQ45" s="36">
        <v>0</v>
      </c>
      <c r="BR45" s="28">
        <v>0</v>
      </c>
      <c r="BS45" s="22">
        <v>0</v>
      </c>
      <c r="BT45" s="28">
        <v>0</v>
      </c>
      <c r="BU45" s="37">
        <v>0</v>
      </c>
      <c r="BV45" s="26"/>
      <c r="BW45" s="27">
        <v>0</v>
      </c>
      <c r="BX45" s="28">
        <v>0</v>
      </c>
      <c r="BY45" s="36">
        <v>0</v>
      </c>
      <c r="BZ45" s="28">
        <v>0</v>
      </c>
      <c r="CA45" s="22">
        <v>0</v>
      </c>
      <c r="CB45" s="28">
        <v>0</v>
      </c>
      <c r="CC45" s="37">
        <v>0</v>
      </c>
      <c r="CD45" s="26"/>
      <c r="CE45" s="27">
        <v>0</v>
      </c>
      <c r="CF45" s="28">
        <v>0</v>
      </c>
      <c r="CG45" s="36">
        <v>0</v>
      </c>
      <c r="CH45" s="28">
        <v>0</v>
      </c>
      <c r="CI45" s="22">
        <v>0</v>
      </c>
      <c r="CJ45" s="28">
        <v>0</v>
      </c>
      <c r="CK45" s="37">
        <v>0</v>
      </c>
      <c r="CL45" s="26"/>
      <c r="CM45" s="27">
        <v>1450</v>
      </c>
      <c r="CN45" s="28">
        <v>100</v>
      </c>
      <c r="CO45" s="36">
        <v>1550</v>
      </c>
      <c r="CP45" s="28">
        <v>0</v>
      </c>
      <c r="CQ45" s="22">
        <v>1550</v>
      </c>
      <c r="CR45" s="28">
        <v>5</v>
      </c>
      <c r="CS45" s="37">
        <v>1555</v>
      </c>
    </row>
    <row r="46" spans="1:97" ht="15" customHeight="1" outlineLevel="1" x14ac:dyDescent="0.25">
      <c r="A46" s="5" t="s">
        <v>63</v>
      </c>
      <c r="B46" s="218"/>
      <c r="C46" s="218"/>
      <c r="D46" s="27">
        <v>0</v>
      </c>
      <c r="E46" s="408">
        <v>0</v>
      </c>
      <c r="F46" s="408">
        <v>0</v>
      </c>
      <c r="G46" s="408"/>
      <c r="H46" s="29"/>
      <c r="I46" s="408"/>
      <c r="J46" s="218"/>
      <c r="K46" s="27">
        <v>0</v>
      </c>
      <c r="L46" s="408">
        <v>0</v>
      </c>
      <c r="M46" s="449">
        <v>0</v>
      </c>
      <c r="N46" s="408">
        <v>0</v>
      </c>
      <c r="O46" s="449">
        <v>0</v>
      </c>
      <c r="P46" s="408">
        <v>0</v>
      </c>
      <c r="Q46" s="37">
        <v>0</v>
      </c>
      <c r="R46" s="218"/>
      <c r="S46" s="27">
        <v>0</v>
      </c>
      <c r="T46" s="28">
        <v>0</v>
      </c>
      <c r="U46" s="36">
        <v>0</v>
      </c>
      <c r="V46" s="28">
        <v>0</v>
      </c>
      <c r="W46" s="22">
        <v>0</v>
      </c>
      <c r="X46" s="28">
        <v>0</v>
      </c>
      <c r="Y46" s="37">
        <v>0</v>
      </c>
      <c r="Z46" s="218"/>
      <c r="AA46" s="27">
        <v>0</v>
      </c>
      <c r="AB46" s="28">
        <v>0</v>
      </c>
      <c r="AC46" s="36">
        <v>0</v>
      </c>
      <c r="AD46" s="28">
        <v>0</v>
      </c>
      <c r="AE46" s="22">
        <v>0</v>
      </c>
      <c r="AF46" s="28">
        <v>0</v>
      </c>
      <c r="AG46" s="37">
        <v>0</v>
      </c>
      <c r="AH46" s="218"/>
      <c r="AI46" s="27">
        <v>0</v>
      </c>
      <c r="AJ46" s="28">
        <v>0</v>
      </c>
      <c r="AK46" s="36">
        <v>0</v>
      </c>
      <c r="AL46" s="28">
        <v>0</v>
      </c>
      <c r="AM46" s="22">
        <v>0</v>
      </c>
      <c r="AN46" s="28">
        <v>0</v>
      </c>
      <c r="AO46" s="37">
        <v>0</v>
      </c>
      <c r="AP46" s="218"/>
      <c r="AQ46" s="27">
        <v>0</v>
      </c>
      <c r="AR46" s="28">
        <v>0</v>
      </c>
      <c r="AS46" s="36">
        <v>0</v>
      </c>
      <c r="AT46" s="28">
        <v>0</v>
      </c>
      <c r="AU46" s="22">
        <v>0</v>
      </c>
      <c r="AV46" s="28">
        <v>0</v>
      </c>
      <c r="AW46" s="37">
        <v>0</v>
      </c>
      <c r="AX46" s="26"/>
      <c r="AY46" s="27">
        <v>0</v>
      </c>
      <c r="AZ46" s="28">
        <v>0</v>
      </c>
      <c r="BA46" s="36">
        <v>0</v>
      </c>
      <c r="BB46" s="28">
        <v>0</v>
      </c>
      <c r="BC46" s="22">
        <v>0</v>
      </c>
      <c r="BD46" s="28">
        <v>0</v>
      </c>
      <c r="BE46" s="37">
        <v>0</v>
      </c>
      <c r="BF46" s="26"/>
      <c r="BG46" s="27">
        <v>0</v>
      </c>
      <c r="BH46" s="28">
        <v>0</v>
      </c>
      <c r="BI46" s="36">
        <v>0</v>
      </c>
      <c r="BJ46" s="28">
        <v>0</v>
      </c>
      <c r="BK46" s="22">
        <v>0</v>
      </c>
      <c r="BL46" s="28">
        <v>0</v>
      </c>
      <c r="BM46" s="37">
        <v>0</v>
      </c>
      <c r="BN46" s="26"/>
      <c r="BO46" s="27">
        <v>0</v>
      </c>
      <c r="BP46" s="28">
        <v>0</v>
      </c>
      <c r="BQ46" s="36">
        <v>0</v>
      </c>
      <c r="BR46" s="28">
        <v>0</v>
      </c>
      <c r="BS46" s="22">
        <v>0</v>
      </c>
      <c r="BT46" s="28">
        <v>0</v>
      </c>
      <c r="BU46" s="37">
        <v>0</v>
      </c>
      <c r="BV46" s="26"/>
      <c r="BW46" s="27">
        <v>0</v>
      </c>
      <c r="BX46" s="28">
        <v>0</v>
      </c>
      <c r="BY46" s="36">
        <v>0</v>
      </c>
      <c r="BZ46" s="28">
        <v>0</v>
      </c>
      <c r="CA46" s="22">
        <v>0</v>
      </c>
      <c r="CB46" s="28">
        <v>0</v>
      </c>
      <c r="CC46" s="37">
        <v>0</v>
      </c>
      <c r="CD46" s="26"/>
      <c r="CE46" s="27">
        <v>0</v>
      </c>
      <c r="CF46" s="28">
        <v>0</v>
      </c>
      <c r="CG46" s="36">
        <v>0</v>
      </c>
      <c r="CH46" s="28">
        <v>0</v>
      </c>
      <c r="CI46" s="22">
        <v>0</v>
      </c>
      <c r="CJ46" s="28">
        <v>0</v>
      </c>
      <c r="CK46" s="37">
        <v>0</v>
      </c>
      <c r="CL46" s="26"/>
      <c r="CM46" s="27">
        <v>0</v>
      </c>
      <c r="CN46" s="28">
        <v>0</v>
      </c>
      <c r="CO46" s="36">
        <v>0</v>
      </c>
      <c r="CP46" s="28">
        <v>0</v>
      </c>
      <c r="CQ46" s="22">
        <v>0</v>
      </c>
      <c r="CR46" s="28">
        <v>0</v>
      </c>
      <c r="CS46" s="37">
        <v>0</v>
      </c>
    </row>
    <row r="47" spans="1:97" ht="15" customHeight="1" outlineLevel="1" x14ac:dyDescent="0.25">
      <c r="A47" s="5" t="s">
        <v>76</v>
      </c>
      <c r="B47" s="218"/>
      <c r="C47" s="218"/>
      <c r="D47" s="27">
        <v>0</v>
      </c>
      <c r="E47" s="408">
        <v>0</v>
      </c>
      <c r="F47" s="408">
        <v>0</v>
      </c>
      <c r="G47" s="408"/>
      <c r="H47" s="29"/>
      <c r="I47" s="408"/>
      <c r="J47" s="218"/>
      <c r="K47" s="27">
        <v>0</v>
      </c>
      <c r="L47" s="408">
        <v>0</v>
      </c>
      <c r="M47" s="449">
        <v>0</v>
      </c>
      <c r="N47" s="408">
        <v>0</v>
      </c>
      <c r="O47" s="449">
        <v>0</v>
      </c>
      <c r="P47" s="408">
        <v>0</v>
      </c>
      <c r="Q47" s="37">
        <v>0</v>
      </c>
      <c r="R47" s="218"/>
      <c r="S47" s="27">
        <v>0</v>
      </c>
      <c r="T47" s="28">
        <v>0</v>
      </c>
      <c r="U47" s="36">
        <v>0</v>
      </c>
      <c r="V47" s="28">
        <v>0</v>
      </c>
      <c r="W47" s="22">
        <v>0</v>
      </c>
      <c r="X47" s="28">
        <v>0</v>
      </c>
      <c r="Y47" s="37">
        <v>0</v>
      </c>
      <c r="Z47" s="218"/>
      <c r="AA47" s="27">
        <v>0</v>
      </c>
      <c r="AB47" s="28">
        <v>0</v>
      </c>
      <c r="AC47" s="36">
        <v>0</v>
      </c>
      <c r="AD47" s="28">
        <v>0</v>
      </c>
      <c r="AE47" s="22">
        <v>0</v>
      </c>
      <c r="AF47" s="28">
        <v>0</v>
      </c>
      <c r="AG47" s="37">
        <v>0</v>
      </c>
      <c r="AH47" s="218"/>
      <c r="AI47" s="27">
        <v>0</v>
      </c>
      <c r="AJ47" s="28">
        <v>0</v>
      </c>
      <c r="AK47" s="36">
        <v>0</v>
      </c>
      <c r="AL47" s="28">
        <v>0</v>
      </c>
      <c r="AM47" s="22">
        <v>0</v>
      </c>
      <c r="AN47" s="28">
        <v>0</v>
      </c>
      <c r="AO47" s="37">
        <v>0</v>
      </c>
      <c r="AP47" s="218"/>
      <c r="AQ47" s="27">
        <v>0</v>
      </c>
      <c r="AR47" s="28">
        <v>0</v>
      </c>
      <c r="AS47" s="36">
        <v>0</v>
      </c>
      <c r="AT47" s="28">
        <v>0</v>
      </c>
      <c r="AU47" s="22">
        <v>0</v>
      </c>
      <c r="AV47" s="28">
        <v>0</v>
      </c>
      <c r="AW47" s="37">
        <v>0</v>
      </c>
      <c r="AX47" s="26"/>
      <c r="AY47" s="27">
        <v>0</v>
      </c>
      <c r="AZ47" s="28">
        <v>0</v>
      </c>
      <c r="BA47" s="36">
        <v>0</v>
      </c>
      <c r="BB47" s="28">
        <v>0</v>
      </c>
      <c r="BC47" s="22">
        <v>0</v>
      </c>
      <c r="BD47" s="28">
        <v>0</v>
      </c>
      <c r="BE47" s="37">
        <v>0</v>
      </c>
      <c r="BF47" s="26"/>
      <c r="BG47" s="27">
        <v>0</v>
      </c>
      <c r="BH47" s="28">
        <v>0</v>
      </c>
      <c r="BI47" s="36">
        <v>0</v>
      </c>
      <c r="BJ47" s="28">
        <v>0</v>
      </c>
      <c r="BK47" s="22">
        <v>0</v>
      </c>
      <c r="BL47" s="28">
        <v>0</v>
      </c>
      <c r="BM47" s="37">
        <v>0</v>
      </c>
      <c r="BN47" s="26"/>
      <c r="BO47" s="27">
        <v>0</v>
      </c>
      <c r="BP47" s="28">
        <v>0</v>
      </c>
      <c r="BQ47" s="36">
        <v>0</v>
      </c>
      <c r="BR47" s="28">
        <v>0</v>
      </c>
      <c r="BS47" s="22">
        <v>0</v>
      </c>
      <c r="BT47" s="28">
        <v>0</v>
      </c>
      <c r="BU47" s="37">
        <v>0</v>
      </c>
      <c r="BV47" s="26"/>
      <c r="BW47" s="27">
        <v>0</v>
      </c>
      <c r="BX47" s="28">
        <v>0</v>
      </c>
      <c r="BY47" s="36">
        <v>0</v>
      </c>
      <c r="BZ47" s="28">
        <v>0</v>
      </c>
      <c r="CA47" s="22">
        <v>0</v>
      </c>
      <c r="CB47" s="28">
        <v>0</v>
      </c>
      <c r="CC47" s="37">
        <v>0</v>
      </c>
      <c r="CD47" s="26"/>
      <c r="CE47" s="27">
        <v>0</v>
      </c>
      <c r="CF47" s="28">
        <v>0</v>
      </c>
      <c r="CG47" s="36">
        <v>0</v>
      </c>
      <c r="CH47" s="28">
        <v>0</v>
      </c>
      <c r="CI47" s="22">
        <v>0</v>
      </c>
      <c r="CJ47" s="28">
        <v>0</v>
      </c>
      <c r="CK47" s="37">
        <v>0</v>
      </c>
      <c r="CL47" s="26"/>
      <c r="CM47" s="27">
        <v>0</v>
      </c>
      <c r="CN47" s="28">
        <v>0</v>
      </c>
      <c r="CO47" s="36">
        <v>0</v>
      </c>
      <c r="CP47" s="28">
        <v>0</v>
      </c>
      <c r="CQ47" s="22">
        <v>0</v>
      </c>
      <c r="CR47" s="28">
        <v>0</v>
      </c>
      <c r="CS47" s="37">
        <v>0</v>
      </c>
    </row>
    <row r="48" spans="1:97" ht="15" customHeight="1" outlineLevel="1" x14ac:dyDescent="0.25">
      <c r="A48" s="5" t="s">
        <v>14</v>
      </c>
      <c r="B48" s="218"/>
      <c r="C48" s="218"/>
      <c r="D48" s="27">
        <v>125</v>
      </c>
      <c r="E48" s="408">
        <v>125</v>
      </c>
      <c r="F48" s="408">
        <v>250</v>
      </c>
      <c r="G48" s="408"/>
      <c r="H48" s="29"/>
      <c r="I48" s="408"/>
      <c r="J48" s="218"/>
      <c r="K48" s="27">
        <v>125</v>
      </c>
      <c r="L48" s="408">
        <v>125</v>
      </c>
      <c r="M48" s="449">
        <v>250</v>
      </c>
      <c r="N48" s="408">
        <v>125</v>
      </c>
      <c r="O48" s="449">
        <v>375</v>
      </c>
      <c r="P48" s="408">
        <v>125</v>
      </c>
      <c r="Q48" s="37">
        <v>500</v>
      </c>
      <c r="R48" s="218"/>
      <c r="S48" s="27">
        <v>125</v>
      </c>
      <c r="T48" s="28">
        <v>125</v>
      </c>
      <c r="U48" s="36">
        <v>250</v>
      </c>
      <c r="V48" s="28">
        <v>125</v>
      </c>
      <c r="W48" s="22">
        <v>375</v>
      </c>
      <c r="X48" s="28">
        <v>125</v>
      </c>
      <c r="Y48" s="37">
        <v>500</v>
      </c>
      <c r="Z48" s="218"/>
      <c r="AA48" s="27">
        <v>125</v>
      </c>
      <c r="AB48" s="28">
        <v>125</v>
      </c>
      <c r="AC48" s="36">
        <v>250</v>
      </c>
      <c r="AD48" s="28">
        <v>125</v>
      </c>
      <c r="AE48" s="22">
        <v>375</v>
      </c>
      <c r="AF48" s="28">
        <v>125</v>
      </c>
      <c r="AG48" s="37">
        <v>500</v>
      </c>
      <c r="AH48" s="218"/>
      <c r="AI48" s="27">
        <v>125</v>
      </c>
      <c r="AJ48" s="28">
        <v>125</v>
      </c>
      <c r="AK48" s="36">
        <v>250</v>
      </c>
      <c r="AL48" s="28">
        <v>125</v>
      </c>
      <c r="AM48" s="22">
        <v>375</v>
      </c>
      <c r="AN48" s="28">
        <v>125</v>
      </c>
      <c r="AO48" s="37">
        <v>500</v>
      </c>
      <c r="AP48" s="218"/>
      <c r="AQ48" s="27">
        <v>125</v>
      </c>
      <c r="AR48" s="28">
        <v>125</v>
      </c>
      <c r="AS48" s="36">
        <v>250</v>
      </c>
      <c r="AT48" s="28">
        <v>125</v>
      </c>
      <c r="AU48" s="22">
        <v>375</v>
      </c>
      <c r="AV48" s="28">
        <v>125</v>
      </c>
      <c r="AW48" s="37">
        <v>500</v>
      </c>
      <c r="AX48" s="26"/>
      <c r="AY48" s="27">
        <v>125</v>
      </c>
      <c r="AZ48" s="28">
        <v>125</v>
      </c>
      <c r="BA48" s="36">
        <v>250</v>
      </c>
      <c r="BB48" s="28">
        <v>125</v>
      </c>
      <c r="BC48" s="22">
        <v>375</v>
      </c>
      <c r="BD48" s="28">
        <v>125</v>
      </c>
      <c r="BE48" s="37">
        <v>500</v>
      </c>
      <c r="BF48" s="26"/>
      <c r="BG48" s="27">
        <v>125</v>
      </c>
      <c r="BH48" s="28">
        <v>125</v>
      </c>
      <c r="BI48" s="36">
        <v>250</v>
      </c>
      <c r="BJ48" s="28">
        <v>125</v>
      </c>
      <c r="BK48" s="22">
        <v>375</v>
      </c>
      <c r="BL48" s="28">
        <v>125</v>
      </c>
      <c r="BM48" s="37">
        <v>500</v>
      </c>
      <c r="BN48" s="26"/>
      <c r="BO48" s="27">
        <v>125</v>
      </c>
      <c r="BP48" s="28">
        <v>125</v>
      </c>
      <c r="BQ48" s="36">
        <v>250</v>
      </c>
      <c r="BR48" s="28">
        <v>125</v>
      </c>
      <c r="BS48" s="22">
        <v>375</v>
      </c>
      <c r="BT48" s="28">
        <v>125</v>
      </c>
      <c r="BU48" s="37">
        <v>500</v>
      </c>
      <c r="BV48" s="26"/>
      <c r="BW48" s="27">
        <v>125</v>
      </c>
      <c r="BX48" s="28">
        <v>125</v>
      </c>
      <c r="BY48" s="36">
        <v>250</v>
      </c>
      <c r="BZ48" s="28">
        <v>125</v>
      </c>
      <c r="CA48" s="22">
        <v>375</v>
      </c>
      <c r="CB48" s="28">
        <v>125</v>
      </c>
      <c r="CC48" s="37">
        <v>500</v>
      </c>
      <c r="CD48" s="26"/>
      <c r="CE48" s="27">
        <v>125</v>
      </c>
      <c r="CF48" s="28">
        <v>125</v>
      </c>
      <c r="CG48" s="36">
        <v>250</v>
      </c>
      <c r="CH48" s="28">
        <v>125</v>
      </c>
      <c r="CI48" s="22">
        <v>375</v>
      </c>
      <c r="CJ48" s="28">
        <v>125</v>
      </c>
      <c r="CK48" s="37">
        <v>500</v>
      </c>
      <c r="CL48" s="26"/>
      <c r="CM48" s="27">
        <v>0</v>
      </c>
      <c r="CN48" s="28">
        <v>125</v>
      </c>
      <c r="CO48" s="36">
        <v>125</v>
      </c>
      <c r="CP48" s="28">
        <v>125</v>
      </c>
      <c r="CQ48" s="22">
        <v>250</v>
      </c>
      <c r="CR48" s="28">
        <v>125</v>
      </c>
      <c r="CS48" s="37">
        <v>375</v>
      </c>
    </row>
    <row r="49" spans="1:97" ht="17.25" customHeight="1" outlineLevel="1" x14ac:dyDescent="0.4">
      <c r="A49" s="5" t="s">
        <v>34</v>
      </c>
      <c r="B49" s="218"/>
      <c r="C49" s="218"/>
      <c r="D49" s="31">
        <v>-6</v>
      </c>
      <c r="E49" s="410">
        <v>-42</v>
      </c>
      <c r="F49" s="410">
        <v>-48</v>
      </c>
      <c r="G49" s="410"/>
      <c r="H49" s="33"/>
      <c r="I49" s="410"/>
      <c r="J49" s="218"/>
      <c r="K49" s="31">
        <v>-4</v>
      </c>
      <c r="L49" s="410">
        <v>1</v>
      </c>
      <c r="M49" s="410">
        <v>-3</v>
      </c>
      <c r="N49" s="410">
        <v>-1</v>
      </c>
      <c r="O49" s="410">
        <v>-4</v>
      </c>
      <c r="P49" s="410">
        <v>11</v>
      </c>
      <c r="Q49" s="33">
        <v>7</v>
      </c>
      <c r="R49" s="218"/>
      <c r="S49" s="31">
        <v>309</v>
      </c>
      <c r="T49" s="32">
        <v>-14</v>
      </c>
      <c r="U49" s="32">
        <v>295</v>
      </c>
      <c r="V49" s="32">
        <v>-19</v>
      </c>
      <c r="W49" s="32">
        <v>276</v>
      </c>
      <c r="X49" s="32">
        <v>6</v>
      </c>
      <c r="Y49" s="33">
        <v>282</v>
      </c>
      <c r="Z49" s="218"/>
      <c r="AA49" s="31">
        <v>0</v>
      </c>
      <c r="AB49" s="32">
        <v>0</v>
      </c>
      <c r="AC49" s="32">
        <v>0</v>
      </c>
      <c r="AD49" s="32">
        <v>0</v>
      </c>
      <c r="AE49" s="32">
        <v>0</v>
      </c>
      <c r="AF49" s="32">
        <v>0</v>
      </c>
      <c r="AG49" s="33">
        <v>0</v>
      </c>
      <c r="AH49" s="218"/>
      <c r="AI49" s="31">
        <v>0</v>
      </c>
      <c r="AJ49" s="32">
        <v>0</v>
      </c>
      <c r="AK49" s="32">
        <v>0</v>
      </c>
      <c r="AL49" s="32">
        <v>0</v>
      </c>
      <c r="AM49" s="32">
        <v>0</v>
      </c>
      <c r="AN49" s="32">
        <v>0</v>
      </c>
      <c r="AO49" s="33">
        <v>0</v>
      </c>
      <c r="AP49" s="218"/>
      <c r="AQ49" s="31">
        <v>0</v>
      </c>
      <c r="AR49" s="32">
        <v>0</v>
      </c>
      <c r="AS49" s="32">
        <v>0</v>
      </c>
      <c r="AT49" s="32">
        <v>0</v>
      </c>
      <c r="AU49" s="32">
        <v>0</v>
      </c>
      <c r="AV49" s="32">
        <v>0</v>
      </c>
      <c r="AW49" s="33">
        <v>0</v>
      </c>
      <c r="AX49" s="26"/>
      <c r="AY49" s="31">
        <v>0</v>
      </c>
      <c r="AZ49" s="32">
        <v>1</v>
      </c>
      <c r="BA49" s="32">
        <v>1</v>
      </c>
      <c r="BB49" s="32">
        <v>-1</v>
      </c>
      <c r="BC49" s="32">
        <v>0</v>
      </c>
      <c r="BD49" s="32">
        <v>0</v>
      </c>
      <c r="BE49" s="33">
        <v>0</v>
      </c>
      <c r="BF49" s="26"/>
      <c r="BG49" s="31">
        <v>0</v>
      </c>
      <c r="BH49" s="32">
        <v>0</v>
      </c>
      <c r="BI49" s="32">
        <v>0</v>
      </c>
      <c r="BJ49" s="32">
        <v>0</v>
      </c>
      <c r="BK49" s="32">
        <v>0</v>
      </c>
      <c r="BL49" s="32">
        <v>0</v>
      </c>
      <c r="BM49" s="33">
        <v>0</v>
      </c>
      <c r="BN49" s="26"/>
      <c r="BO49" s="31">
        <v>0</v>
      </c>
      <c r="BP49" s="32">
        <v>0</v>
      </c>
      <c r="BQ49" s="32">
        <v>0</v>
      </c>
      <c r="BR49" s="32">
        <v>0</v>
      </c>
      <c r="BS49" s="32">
        <v>0</v>
      </c>
      <c r="BT49" s="32">
        <v>0</v>
      </c>
      <c r="BU49" s="33">
        <v>0</v>
      </c>
      <c r="BV49" s="26"/>
      <c r="BW49" s="31">
        <v>0</v>
      </c>
      <c r="BX49" s="32">
        <v>0</v>
      </c>
      <c r="BY49" s="32">
        <v>0</v>
      </c>
      <c r="BZ49" s="32">
        <v>0</v>
      </c>
      <c r="CA49" s="32">
        <v>0</v>
      </c>
      <c r="CB49" s="32">
        <v>0</v>
      </c>
      <c r="CC49" s="33">
        <v>0</v>
      </c>
      <c r="CD49" s="26"/>
      <c r="CE49" s="31">
        <v>0</v>
      </c>
      <c r="CF49" s="32">
        <v>0</v>
      </c>
      <c r="CG49" s="32">
        <v>0</v>
      </c>
      <c r="CH49" s="32">
        <v>0</v>
      </c>
      <c r="CI49" s="32">
        <v>0</v>
      </c>
      <c r="CJ49" s="32">
        <v>0</v>
      </c>
      <c r="CK49" s="33">
        <v>0</v>
      </c>
      <c r="CL49" s="26"/>
      <c r="CM49" s="31">
        <v>0</v>
      </c>
      <c r="CN49" s="32">
        <v>0</v>
      </c>
      <c r="CO49" s="32">
        <v>0</v>
      </c>
      <c r="CP49" s="32">
        <v>0</v>
      </c>
      <c r="CQ49" s="32">
        <v>0</v>
      </c>
      <c r="CR49" s="32">
        <v>0</v>
      </c>
      <c r="CS49" s="33">
        <v>0</v>
      </c>
    </row>
    <row r="50" spans="1:97" s="14" customFormat="1" x14ac:dyDescent="0.25">
      <c r="A50" s="16" t="s">
        <v>65</v>
      </c>
      <c r="B50" s="218"/>
      <c r="C50" s="218"/>
      <c r="D50" s="25">
        <v>6202</v>
      </c>
      <c r="E50" s="406">
        <v>6503</v>
      </c>
      <c r="F50" s="406">
        <v>12705</v>
      </c>
      <c r="G50" s="406"/>
      <c r="H50" s="21"/>
      <c r="I50" s="406"/>
      <c r="J50" s="218"/>
      <c r="K50" s="25">
        <v>3682</v>
      </c>
      <c r="L50" s="406">
        <v>3949</v>
      </c>
      <c r="M50" s="423">
        <v>7631</v>
      </c>
      <c r="N50" s="406">
        <v>6280</v>
      </c>
      <c r="O50" s="423">
        <v>13911</v>
      </c>
      <c r="P50" s="406">
        <v>5105</v>
      </c>
      <c r="Q50" s="40">
        <v>19016</v>
      </c>
      <c r="R50" s="218"/>
      <c r="S50" s="25">
        <v>2222</v>
      </c>
      <c r="T50" s="20">
        <v>2195</v>
      </c>
      <c r="U50" s="39">
        <v>4417</v>
      </c>
      <c r="V50" s="20">
        <v>3207</v>
      </c>
      <c r="W50" s="39">
        <v>7624</v>
      </c>
      <c r="X50" s="20">
        <v>3243</v>
      </c>
      <c r="Y50" s="40">
        <v>10867</v>
      </c>
      <c r="Z50" s="218"/>
      <c r="AA50" s="25">
        <v>3346</v>
      </c>
      <c r="AB50" s="20">
        <v>2136</v>
      </c>
      <c r="AC50" s="39">
        <v>5482</v>
      </c>
      <c r="AD50" s="20">
        <v>1020</v>
      </c>
      <c r="AE50" s="39">
        <v>6502</v>
      </c>
      <c r="AF50" s="20">
        <v>1558</v>
      </c>
      <c r="AG50" s="40">
        <v>8060</v>
      </c>
      <c r="AH50" s="218"/>
      <c r="AI50" s="25">
        <v>3202</v>
      </c>
      <c r="AJ50" s="20">
        <v>2876</v>
      </c>
      <c r="AK50" s="39">
        <v>6078</v>
      </c>
      <c r="AL50" s="20">
        <v>2571</v>
      </c>
      <c r="AM50" s="39">
        <v>8649</v>
      </c>
      <c r="AN50" s="20">
        <v>3077</v>
      </c>
      <c r="AO50" s="40">
        <v>11726</v>
      </c>
      <c r="AP50" s="218"/>
      <c r="AQ50" s="25">
        <v>5926</v>
      </c>
      <c r="AR50" s="20">
        <v>3413</v>
      </c>
      <c r="AS50" s="39">
        <v>9339</v>
      </c>
      <c r="AT50" s="20">
        <v>3238</v>
      </c>
      <c r="AU50" s="39">
        <v>12577</v>
      </c>
      <c r="AV50" s="20">
        <v>4330</v>
      </c>
      <c r="AW50" s="40">
        <v>16907</v>
      </c>
      <c r="AX50" s="26"/>
      <c r="AY50" s="25">
        <v>3223</v>
      </c>
      <c r="AZ50" s="20">
        <v>3567</v>
      </c>
      <c r="BA50" s="39">
        <v>6790</v>
      </c>
      <c r="BB50" s="20">
        <v>4353</v>
      </c>
      <c r="BC50" s="39">
        <v>11143</v>
      </c>
      <c r="BD50" s="20">
        <v>4973</v>
      </c>
      <c r="BE50" s="40">
        <v>16116</v>
      </c>
      <c r="BF50" s="26"/>
      <c r="BG50" s="25">
        <v>3468</v>
      </c>
      <c r="BH50" s="20">
        <v>-373</v>
      </c>
      <c r="BI50" s="39">
        <v>3095</v>
      </c>
      <c r="BJ50" s="20">
        <v>121</v>
      </c>
      <c r="BK50" s="39">
        <v>3216</v>
      </c>
      <c r="BL50" s="20">
        <v>1306</v>
      </c>
      <c r="BM50" s="40">
        <v>4522</v>
      </c>
      <c r="BN50" s="26"/>
      <c r="BO50" s="25">
        <v>4833</v>
      </c>
      <c r="BP50" s="20">
        <v>5018</v>
      </c>
      <c r="BQ50" s="39">
        <v>9851</v>
      </c>
      <c r="BR50" s="20">
        <v>5910</v>
      </c>
      <c r="BS50" s="39">
        <v>15761</v>
      </c>
      <c r="BT50" s="20">
        <v>3782</v>
      </c>
      <c r="BU50" s="40">
        <v>19543</v>
      </c>
      <c r="BV50" s="26"/>
      <c r="BW50" s="25">
        <v>2580</v>
      </c>
      <c r="BX50" s="20">
        <v>3473</v>
      </c>
      <c r="BY50" s="39">
        <v>6053</v>
      </c>
      <c r="BZ50" s="20">
        <v>4044</v>
      </c>
      <c r="CA50" s="39">
        <v>10097</v>
      </c>
      <c r="CB50" s="20">
        <v>3685</v>
      </c>
      <c r="CC50" s="40">
        <v>13782</v>
      </c>
      <c r="CD50" s="26"/>
      <c r="CE50" s="25">
        <v>2701</v>
      </c>
      <c r="CF50" s="20">
        <v>2830</v>
      </c>
      <c r="CG50" s="39">
        <v>5531</v>
      </c>
      <c r="CH50" s="20">
        <v>3197</v>
      </c>
      <c r="CI50" s="39">
        <v>8728</v>
      </c>
      <c r="CJ50" s="20">
        <v>2887</v>
      </c>
      <c r="CK50" s="40">
        <v>11615</v>
      </c>
      <c r="CL50" s="26"/>
      <c r="CM50" s="25">
        <v>0</v>
      </c>
      <c r="CN50" s="20">
        <v>1730</v>
      </c>
      <c r="CO50" s="39">
        <v>1730</v>
      </c>
      <c r="CP50" s="20">
        <v>2157</v>
      </c>
      <c r="CQ50" s="39">
        <v>3887</v>
      </c>
      <c r="CR50" s="20">
        <v>2585</v>
      </c>
      <c r="CS50" s="40">
        <v>6472</v>
      </c>
    </row>
    <row r="51" spans="1:97" x14ac:dyDescent="0.25">
      <c r="A51" s="5"/>
      <c r="B51" s="218"/>
      <c r="C51" s="218"/>
      <c r="D51" s="25"/>
      <c r="E51" s="406"/>
      <c r="F51" s="406"/>
      <c r="G51" s="406"/>
      <c r="H51" s="21"/>
      <c r="I51" s="406"/>
      <c r="J51" s="218"/>
      <c r="K51" s="25"/>
      <c r="L51" s="30"/>
      <c r="M51" s="30"/>
      <c r="N51" s="30"/>
      <c r="O51" s="30"/>
      <c r="P51" s="30"/>
      <c r="Q51" s="41"/>
      <c r="R51" s="218"/>
      <c r="S51" s="25"/>
      <c r="T51" s="30"/>
      <c r="U51" s="30"/>
      <c r="V51" s="30"/>
      <c r="W51" s="30"/>
      <c r="X51" s="30"/>
      <c r="Y51" s="41"/>
      <c r="Z51" s="218"/>
      <c r="AA51" s="25"/>
      <c r="AB51" s="30"/>
      <c r="AC51" s="30"/>
      <c r="AD51" s="30"/>
      <c r="AE51" s="30"/>
      <c r="AF51" s="30"/>
      <c r="AG51" s="41"/>
      <c r="AH51" s="218"/>
      <c r="AI51" s="25"/>
      <c r="AJ51" s="30"/>
      <c r="AK51" s="30"/>
      <c r="AL51" s="30"/>
      <c r="AM51" s="30"/>
      <c r="AN51" s="30"/>
      <c r="AO51" s="41"/>
      <c r="AP51" s="218"/>
      <c r="AQ51" s="25"/>
      <c r="AR51" s="30"/>
      <c r="AS51" s="30"/>
      <c r="AT51" s="30"/>
      <c r="AU51" s="30"/>
      <c r="AV51" s="30"/>
      <c r="AW51" s="41"/>
      <c r="AX51" s="26"/>
      <c r="AY51" s="25"/>
      <c r="AZ51" s="30"/>
      <c r="BA51" s="30"/>
      <c r="BB51" s="30"/>
      <c r="BC51" s="30"/>
      <c r="BD51" s="30"/>
      <c r="BE51" s="41"/>
      <c r="BF51" s="26"/>
      <c r="BG51" s="25"/>
      <c r="BH51" s="30"/>
      <c r="BI51" s="30"/>
      <c r="BJ51" s="30"/>
      <c r="BK51" s="30"/>
      <c r="BL51" s="30"/>
      <c r="BM51" s="41"/>
      <c r="BN51" s="6"/>
      <c r="BO51" s="25"/>
      <c r="BP51" s="30"/>
      <c r="BQ51" s="30"/>
      <c r="BR51" s="30"/>
      <c r="BS51" s="30"/>
      <c r="BT51" s="30"/>
      <c r="BU51" s="41"/>
      <c r="BV51" s="6"/>
      <c r="BW51" s="25"/>
      <c r="BX51" s="30"/>
      <c r="BY51" s="30"/>
      <c r="BZ51" s="30"/>
      <c r="CA51" s="30"/>
      <c r="CB51" s="30"/>
      <c r="CC51" s="41"/>
      <c r="CD51" s="6"/>
      <c r="CE51" s="25"/>
      <c r="CF51" s="30"/>
      <c r="CG51" s="30"/>
      <c r="CH51" s="30"/>
      <c r="CI51" s="30"/>
      <c r="CJ51" s="30"/>
      <c r="CK51" s="41"/>
      <c r="CL51" s="6"/>
      <c r="CM51" s="25"/>
      <c r="CN51" s="30"/>
      <c r="CO51" s="30"/>
      <c r="CP51" s="30"/>
      <c r="CQ51" s="30"/>
      <c r="CR51" s="30"/>
      <c r="CS51" s="41"/>
    </row>
    <row r="52" spans="1:97" x14ac:dyDescent="0.25">
      <c r="A52" s="5"/>
      <c r="B52" s="218"/>
      <c r="C52" s="218"/>
      <c r="D52" s="25"/>
      <c r="E52" s="406"/>
      <c r="F52" s="406"/>
      <c r="G52" s="406"/>
      <c r="H52" s="21"/>
      <c r="I52" s="406"/>
      <c r="J52" s="218"/>
      <c r="K52" s="25"/>
      <c r="L52" s="30"/>
      <c r="M52" s="30"/>
      <c r="N52" s="30"/>
      <c r="O52" s="30"/>
      <c r="P52" s="30"/>
      <c r="Q52" s="41"/>
      <c r="R52" s="218"/>
      <c r="S52" s="25"/>
      <c r="T52" s="30"/>
      <c r="U52" s="30"/>
      <c r="V52" s="30"/>
      <c r="W52" s="30"/>
      <c r="X52" s="30"/>
      <c r="Y52" s="41"/>
      <c r="Z52" s="218"/>
      <c r="AA52" s="25"/>
      <c r="AB52" s="30"/>
      <c r="AC52" s="30"/>
      <c r="AD52" s="30"/>
      <c r="AE52" s="30"/>
      <c r="AF52" s="30"/>
      <c r="AG52" s="41"/>
      <c r="AH52" s="218"/>
      <c r="AI52" s="25"/>
      <c r="AJ52" s="30"/>
      <c r="AK52" s="30"/>
      <c r="AL52" s="30"/>
      <c r="AM52" s="30"/>
      <c r="AN52" s="30"/>
      <c r="AO52" s="41"/>
      <c r="AP52" s="218"/>
      <c r="AQ52" s="25"/>
      <c r="AR52" s="30"/>
      <c r="AS52" s="30"/>
      <c r="AT52" s="30"/>
      <c r="AU52" s="30"/>
      <c r="AV52" s="30"/>
      <c r="AW52" s="41"/>
      <c r="AX52" s="26"/>
      <c r="AY52" s="25"/>
      <c r="AZ52" s="30"/>
      <c r="BA52" s="30"/>
      <c r="BB52" s="30"/>
      <c r="BC52" s="30"/>
      <c r="BD52" s="30"/>
      <c r="BE52" s="41"/>
      <c r="BF52" s="26"/>
      <c r="BG52" s="25"/>
      <c r="BH52" s="30"/>
      <c r="BI52" s="30"/>
      <c r="BJ52" s="30"/>
      <c r="BK52" s="30"/>
      <c r="BL52" s="30"/>
      <c r="BM52" s="41"/>
      <c r="BN52" s="6"/>
      <c r="BO52" s="25"/>
      <c r="BP52" s="30"/>
      <c r="BQ52" s="30"/>
      <c r="BR52" s="30"/>
      <c r="BS52" s="30"/>
      <c r="BT52" s="30"/>
      <c r="BU52" s="41"/>
      <c r="BV52" s="6"/>
      <c r="BW52" s="25"/>
      <c r="BX52" s="30"/>
      <c r="BY52" s="30"/>
      <c r="BZ52" s="30"/>
      <c r="CA52" s="30"/>
      <c r="CB52" s="30"/>
      <c r="CC52" s="41"/>
      <c r="CD52" s="6"/>
      <c r="CE52" s="25"/>
      <c r="CF52" s="30"/>
      <c r="CG52" s="30"/>
      <c r="CH52" s="30"/>
      <c r="CI52" s="30"/>
      <c r="CJ52" s="30"/>
      <c r="CK52" s="41"/>
      <c r="CL52" s="6"/>
      <c r="CM52" s="25"/>
      <c r="CN52" s="30"/>
      <c r="CO52" s="30"/>
      <c r="CP52" s="30"/>
      <c r="CQ52" s="30"/>
      <c r="CR52" s="30"/>
      <c r="CS52" s="41"/>
    </row>
    <row r="53" spans="1:97" s="14" customFormat="1" x14ac:dyDescent="0.25">
      <c r="A53" s="16" t="s">
        <v>25</v>
      </c>
      <c r="B53" s="218"/>
      <c r="C53" s="218"/>
      <c r="D53" s="25">
        <v>87827</v>
      </c>
      <c r="E53" s="406">
        <v>92345</v>
      </c>
      <c r="F53" s="406"/>
      <c r="G53" s="406"/>
      <c r="H53" s="21"/>
      <c r="I53" s="406"/>
      <c r="J53" s="218"/>
      <c r="K53" s="25">
        <v>82865</v>
      </c>
      <c r="L53" s="423">
        <v>83286</v>
      </c>
      <c r="M53" s="423"/>
      <c r="N53" s="423">
        <v>87185</v>
      </c>
      <c r="O53" s="423"/>
      <c r="P53" s="423">
        <v>87499</v>
      </c>
      <c r="Q53" s="40"/>
      <c r="R53" s="218"/>
      <c r="S53" s="25">
        <v>81586</v>
      </c>
      <c r="T53" s="39">
        <v>83911</v>
      </c>
      <c r="U53" s="39"/>
      <c r="V53" s="39">
        <v>88589</v>
      </c>
      <c r="W53" s="39"/>
      <c r="X53" s="39">
        <v>84831</v>
      </c>
      <c r="Y53" s="40"/>
      <c r="Z53" s="218"/>
      <c r="AA53" s="25">
        <v>73504</v>
      </c>
      <c r="AB53" s="39">
        <v>74530</v>
      </c>
      <c r="AC53" s="39"/>
      <c r="AD53" s="39">
        <v>71632</v>
      </c>
      <c r="AE53" s="39"/>
      <c r="AF53" s="39">
        <v>71098</v>
      </c>
      <c r="AG53" s="40"/>
      <c r="AH53" s="218"/>
      <c r="AI53" s="25">
        <v>72668</v>
      </c>
      <c r="AJ53" s="39">
        <v>69601</v>
      </c>
      <c r="AK53" s="39"/>
      <c r="AL53" s="39">
        <v>72925</v>
      </c>
      <c r="AM53" s="39"/>
      <c r="AN53" s="39">
        <v>72949</v>
      </c>
      <c r="AO53" s="40"/>
      <c r="AP53" s="218"/>
      <c r="AQ53" s="25">
        <v>74759</v>
      </c>
      <c r="AR53" s="39">
        <v>73265</v>
      </c>
      <c r="AS53" s="39"/>
      <c r="AT53" s="39">
        <v>73638</v>
      </c>
      <c r="AU53" s="39"/>
      <c r="AV53" s="39">
        <v>72144</v>
      </c>
      <c r="AW53" s="40"/>
      <c r="AX53" s="26"/>
      <c r="AY53" s="25">
        <v>77263</v>
      </c>
      <c r="AZ53" s="39">
        <v>75027</v>
      </c>
      <c r="BA53" s="39"/>
      <c r="BB53" s="39">
        <v>76821</v>
      </c>
      <c r="BC53" s="39"/>
      <c r="BD53" s="39">
        <v>77064</v>
      </c>
      <c r="BE53" s="40"/>
      <c r="BF53" s="26"/>
      <c r="BG53" s="25">
        <v>93645</v>
      </c>
      <c r="BH53" s="39">
        <v>84237</v>
      </c>
      <c r="BI53" s="39"/>
      <c r="BJ53" s="39">
        <v>82968</v>
      </c>
      <c r="BK53" s="39"/>
      <c r="BL53" s="39">
        <v>78248</v>
      </c>
      <c r="BM53" s="40"/>
      <c r="BN53" s="26"/>
      <c r="BO53" s="25">
        <v>83536</v>
      </c>
      <c r="BP53" s="39">
        <v>89751</v>
      </c>
      <c r="BQ53" s="39"/>
      <c r="BR53" s="39">
        <v>98459</v>
      </c>
      <c r="BS53" s="39"/>
      <c r="BT53" s="39">
        <v>94285</v>
      </c>
      <c r="BU53" s="40"/>
      <c r="BV53" s="26"/>
      <c r="BW53" s="25">
        <v>82578</v>
      </c>
      <c r="BX53" s="39">
        <v>84365</v>
      </c>
      <c r="BY53" s="39"/>
      <c r="BZ53" s="39">
        <v>87116</v>
      </c>
      <c r="CA53" s="39"/>
      <c r="CB53" s="39">
        <v>82358</v>
      </c>
      <c r="CC53" s="40"/>
      <c r="CD53" s="26"/>
      <c r="CE53" s="25">
        <v>82790</v>
      </c>
      <c r="CF53" s="39">
        <v>84771</v>
      </c>
      <c r="CG53" s="39"/>
      <c r="CH53" s="39">
        <v>87469</v>
      </c>
      <c r="CI53" s="39"/>
      <c r="CJ53" s="39">
        <v>85533</v>
      </c>
      <c r="CK53" s="40"/>
      <c r="CL53" s="26"/>
      <c r="CM53" s="25">
        <v>90291</v>
      </c>
      <c r="CN53" s="39">
        <v>85698</v>
      </c>
      <c r="CO53" s="39"/>
      <c r="CP53" s="39">
        <v>88055</v>
      </c>
      <c r="CQ53" s="39"/>
      <c r="CR53" s="39">
        <v>83204</v>
      </c>
      <c r="CS53" s="40"/>
    </row>
    <row r="54" spans="1:97" s="14" customFormat="1" ht="7.5" customHeight="1" x14ac:dyDescent="0.25">
      <c r="A54" s="16"/>
      <c r="B54" s="218"/>
      <c r="C54" s="218"/>
      <c r="D54" s="25"/>
      <c r="E54" s="406"/>
      <c r="F54" s="406"/>
      <c r="G54" s="406"/>
      <c r="H54" s="21"/>
      <c r="I54" s="406"/>
      <c r="J54" s="218"/>
      <c r="K54" s="25"/>
      <c r="L54" s="423"/>
      <c r="M54" s="423"/>
      <c r="N54" s="423"/>
      <c r="O54" s="423"/>
      <c r="P54" s="423"/>
      <c r="Q54" s="40"/>
      <c r="R54" s="218"/>
      <c r="S54" s="25"/>
      <c r="T54" s="39"/>
      <c r="U54" s="39"/>
      <c r="V54" s="26"/>
      <c r="W54" s="39"/>
      <c r="X54" s="39"/>
      <c r="Y54" s="40"/>
      <c r="Z54" s="218"/>
      <c r="AA54" s="25"/>
      <c r="AB54" s="39"/>
      <c r="AC54" s="39"/>
      <c r="AD54" s="26"/>
      <c r="AE54" s="39"/>
      <c r="AF54" s="39"/>
      <c r="AG54" s="40"/>
      <c r="AH54" s="218"/>
      <c r="AI54" s="25"/>
      <c r="AJ54" s="39"/>
      <c r="AK54" s="39"/>
      <c r="AL54" s="26"/>
      <c r="AM54" s="39"/>
      <c r="AN54" s="39"/>
      <c r="AO54" s="40"/>
      <c r="AP54" s="218"/>
      <c r="AQ54" s="25"/>
      <c r="AR54" s="39"/>
      <c r="AS54" s="39"/>
      <c r="AT54" s="26"/>
      <c r="AU54" s="39"/>
      <c r="AV54" s="39"/>
      <c r="AW54" s="40"/>
      <c r="AX54" s="26"/>
      <c r="AY54" s="25"/>
      <c r="AZ54" s="39"/>
      <c r="BA54" s="39"/>
      <c r="BB54" s="26"/>
      <c r="BC54" s="39"/>
      <c r="BD54" s="39"/>
      <c r="BE54" s="40"/>
      <c r="BF54" s="26"/>
      <c r="BG54" s="25"/>
      <c r="BH54" s="39"/>
      <c r="BI54" s="39"/>
      <c r="BJ54" s="26"/>
      <c r="BK54" s="39"/>
      <c r="BL54" s="39"/>
      <c r="BM54" s="40"/>
      <c r="BN54" s="30"/>
      <c r="BO54" s="25"/>
      <c r="BP54" s="39"/>
      <c r="BQ54" s="39"/>
      <c r="BR54" s="26"/>
      <c r="BS54" s="39"/>
      <c r="BT54" s="39"/>
      <c r="BU54" s="40"/>
      <c r="BV54" s="30"/>
      <c r="BW54" s="25"/>
      <c r="BX54" s="39"/>
      <c r="BY54" s="39"/>
      <c r="BZ54" s="26"/>
      <c r="CA54" s="39"/>
      <c r="CB54" s="39"/>
      <c r="CC54" s="40"/>
      <c r="CD54" s="30"/>
      <c r="CE54" s="25"/>
      <c r="CF54" s="39"/>
      <c r="CG54" s="39"/>
      <c r="CH54" s="26"/>
      <c r="CI54" s="39"/>
      <c r="CJ54" s="39"/>
      <c r="CK54" s="40"/>
      <c r="CL54" s="30"/>
      <c r="CM54" s="25"/>
      <c r="CN54" s="39"/>
      <c r="CO54" s="39"/>
      <c r="CP54" s="26"/>
      <c r="CQ54" s="39"/>
      <c r="CR54" s="39"/>
      <c r="CS54" s="40"/>
    </row>
    <row r="55" spans="1:97" ht="15" customHeight="1" outlineLevel="1" x14ac:dyDescent="0.25">
      <c r="A55" s="5" t="s">
        <v>26</v>
      </c>
      <c r="B55" s="218"/>
      <c r="C55" s="218"/>
      <c r="D55" s="27">
        <v>26945</v>
      </c>
      <c r="E55" s="408">
        <v>26931</v>
      </c>
      <c r="F55" s="408"/>
      <c r="G55" s="408"/>
      <c r="H55" s="29"/>
      <c r="I55" s="408"/>
      <c r="J55" s="218"/>
      <c r="K55" s="27">
        <v>44951</v>
      </c>
      <c r="L55" s="424">
        <v>42248</v>
      </c>
      <c r="M55" s="408"/>
      <c r="N55" s="408">
        <v>37842</v>
      </c>
      <c r="O55" s="408"/>
      <c r="P55" s="408">
        <v>34442</v>
      </c>
      <c r="Q55" s="29"/>
      <c r="R55" s="218"/>
      <c r="S55" s="27">
        <v>46171</v>
      </c>
      <c r="T55" s="38">
        <v>47588</v>
      </c>
      <c r="U55" s="28"/>
      <c r="V55" s="36">
        <v>49805</v>
      </c>
      <c r="W55" s="28"/>
      <c r="X55" s="38">
        <v>46325</v>
      </c>
      <c r="Y55" s="29"/>
      <c r="Z55" s="218"/>
      <c r="AA55" s="27">
        <v>47510</v>
      </c>
      <c r="AB55" s="38">
        <v>47877</v>
      </c>
      <c r="AC55" s="28"/>
      <c r="AD55" s="36">
        <v>47837</v>
      </c>
      <c r="AE55" s="28"/>
      <c r="AF55" s="38">
        <v>46902</v>
      </c>
      <c r="AG55" s="29"/>
      <c r="AH55" s="218"/>
      <c r="AI55" s="27">
        <v>50412</v>
      </c>
      <c r="AJ55" s="38">
        <v>47938</v>
      </c>
      <c r="AK55" s="28"/>
      <c r="AL55" s="36">
        <v>50022</v>
      </c>
      <c r="AM55" s="28"/>
      <c r="AN55" s="38">
        <v>48905</v>
      </c>
      <c r="AO55" s="29"/>
      <c r="AP55" s="218"/>
      <c r="AQ55" s="27">
        <v>57856</v>
      </c>
      <c r="AR55" s="38">
        <v>55328</v>
      </c>
      <c r="AS55" s="28"/>
      <c r="AT55" s="36">
        <v>53333</v>
      </c>
      <c r="AU55" s="28"/>
      <c r="AV55" s="38">
        <v>51288</v>
      </c>
      <c r="AW55" s="29"/>
      <c r="AX55" s="26"/>
      <c r="AY55" s="27">
        <v>34066</v>
      </c>
      <c r="AZ55" s="38">
        <v>31399</v>
      </c>
      <c r="BA55" s="28"/>
      <c r="BB55" s="36">
        <v>31237</v>
      </c>
      <c r="BC55" s="28"/>
      <c r="BD55" s="38">
        <v>31058</v>
      </c>
      <c r="BE55" s="29"/>
      <c r="BF55" s="26"/>
      <c r="BG55" s="27">
        <v>43512</v>
      </c>
      <c r="BH55" s="38">
        <v>40774</v>
      </c>
      <c r="BI55" s="28"/>
      <c r="BJ55" s="36">
        <v>39674</v>
      </c>
      <c r="BK55" s="28"/>
      <c r="BL55" s="38">
        <v>38696</v>
      </c>
      <c r="BM55" s="29"/>
      <c r="BN55" s="30"/>
      <c r="BO55" s="27">
        <v>36390</v>
      </c>
      <c r="BP55" s="38">
        <v>37997</v>
      </c>
      <c r="BQ55" s="28"/>
      <c r="BR55" s="36">
        <v>42058</v>
      </c>
      <c r="BS55" s="28"/>
      <c r="BT55" s="38">
        <v>44411</v>
      </c>
      <c r="BU55" s="29"/>
      <c r="BV55" s="30"/>
      <c r="BW55" s="27">
        <v>38449</v>
      </c>
      <c r="BX55" s="38">
        <v>39393</v>
      </c>
      <c r="BY55" s="28"/>
      <c r="BZ55" s="36">
        <v>40939</v>
      </c>
      <c r="CA55" s="28"/>
      <c r="CB55" s="38">
        <v>39569</v>
      </c>
      <c r="CC55" s="29"/>
      <c r="CD55" s="30"/>
      <c r="CE55" s="27">
        <v>39199</v>
      </c>
      <c r="CF55" s="38">
        <v>40994</v>
      </c>
      <c r="CG55" s="28"/>
      <c r="CH55" s="36">
        <v>40589</v>
      </c>
      <c r="CI55" s="28"/>
      <c r="CJ55" s="38">
        <v>40683</v>
      </c>
      <c r="CK55" s="29"/>
      <c r="CL55" s="30"/>
      <c r="CM55" s="27">
        <v>44059</v>
      </c>
      <c r="CN55" s="38">
        <v>42332</v>
      </c>
      <c r="CO55" s="28"/>
      <c r="CP55" s="36">
        <v>42172</v>
      </c>
      <c r="CQ55" s="28"/>
      <c r="CR55" s="38">
        <v>42596</v>
      </c>
      <c r="CS55" s="29"/>
    </row>
    <row r="56" spans="1:97" s="286" customFormat="1" ht="15" customHeight="1" outlineLevel="1" x14ac:dyDescent="0.25">
      <c r="A56" s="5" t="s">
        <v>28</v>
      </c>
      <c r="B56" s="289"/>
      <c r="C56" s="289"/>
      <c r="D56" s="160">
        <v>30708</v>
      </c>
      <c r="E56" s="409">
        <v>31134</v>
      </c>
      <c r="F56" s="409"/>
      <c r="G56" s="409"/>
      <c r="H56" s="162"/>
      <c r="I56" s="409"/>
      <c r="J56" s="289"/>
      <c r="K56" s="160">
        <v>19538</v>
      </c>
      <c r="L56" s="425">
        <v>20803</v>
      </c>
      <c r="M56" s="409"/>
      <c r="N56" s="409">
        <v>25442</v>
      </c>
      <c r="O56" s="409"/>
      <c r="P56" s="409">
        <v>26365</v>
      </c>
      <c r="Q56" s="162"/>
      <c r="R56" s="289"/>
      <c r="S56" s="160">
        <v>20905</v>
      </c>
      <c r="T56" s="192">
        <v>21467</v>
      </c>
      <c r="U56" s="161"/>
      <c r="V56" s="285">
        <v>23757</v>
      </c>
      <c r="W56" s="161"/>
      <c r="X56" s="192">
        <v>21746</v>
      </c>
      <c r="Y56" s="162"/>
      <c r="Z56" s="289"/>
      <c r="AA56" s="160">
        <v>11515</v>
      </c>
      <c r="AB56" s="192">
        <v>11753</v>
      </c>
      <c r="AC56" s="161"/>
      <c r="AD56" s="285">
        <v>9335</v>
      </c>
      <c r="AE56" s="161"/>
      <c r="AF56" s="192">
        <v>9848</v>
      </c>
      <c r="AG56" s="162"/>
      <c r="AH56" s="289"/>
      <c r="AI56" s="160">
        <v>12897</v>
      </c>
      <c r="AJ56" s="192">
        <v>11481</v>
      </c>
      <c r="AK56" s="161"/>
      <c r="AL56" s="285">
        <v>12027</v>
      </c>
      <c r="AM56" s="161"/>
      <c r="AN56" s="192">
        <v>10819</v>
      </c>
      <c r="AO56" s="162"/>
      <c r="AP56" s="289"/>
      <c r="AQ56" s="160">
        <v>11892</v>
      </c>
      <c r="AR56" s="192">
        <v>12006</v>
      </c>
      <c r="AS56" s="161"/>
      <c r="AT56" s="285">
        <v>13442</v>
      </c>
      <c r="AU56" s="161"/>
      <c r="AV56" s="192">
        <v>12508</v>
      </c>
      <c r="AW56" s="162"/>
      <c r="AX56" s="165"/>
      <c r="AY56" s="160">
        <v>14324</v>
      </c>
      <c r="AZ56" s="192">
        <v>13499</v>
      </c>
      <c r="BA56" s="161"/>
      <c r="BB56" s="285">
        <v>13878</v>
      </c>
      <c r="BC56" s="161"/>
      <c r="BD56" s="192">
        <v>12279</v>
      </c>
      <c r="BE56" s="162"/>
      <c r="BF56" s="165"/>
      <c r="BG56" s="160">
        <v>17002</v>
      </c>
      <c r="BH56" s="192">
        <v>12342</v>
      </c>
      <c r="BI56" s="161"/>
      <c r="BJ56" s="285">
        <v>14027</v>
      </c>
      <c r="BK56" s="161"/>
      <c r="BL56" s="192">
        <v>10981</v>
      </c>
      <c r="BM56" s="162"/>
      <c r="BN56" s="288"/>
      <c r="BO56" s="160">
        <v>19095</v>
      </c>
      <c r="BP56" s="192">
        <v>22170</v>
      </c>
      <c r="BQ56" s="161"/>
      <c r="BR56" s="285">
        <v>24471</v>
      </c>
      <c r="BS56" s="161"/>
      <c r="BT56" s="192">
        <v>17198</v>
      </c>
      <c r="BU56" s="162"/>
      <c r="BV56" s="288"/>
      <c r="BW56" s="160">
        <v>18664</v>
      </c>
      <c r="BX56" s="192">
        <v>19118</v>
      </c>
      <c r="BY56" s="161"/>
      <c r="BZ56" s="285">
        <v>19708</v>
      </c>
      <c r="CA56" s="161"/>
      <c r="CB56" s="192">
        <v>15991</v>
      </c>
      <c r="CC56" s="162"/>
      <c r="CD56" s="288"/>
      <c r="CE56" s="160">
        <v>18000</v>
      </c>
      <c r="CF56" s="192">
        <v>18190</v>
      </c>
      <c r="CG56" s="161"/>
      <c r="CH56" s="285">
        <v>21089</v>
      </c>
      <c r="CI56" s="161"/>
      <c r="CJ56" s="192">
        <v>19076</v>
      </c>
      <c r="CK56" s="162"/>
      <c r="CL56" s="288"/>
      <c r="CM56" s="160">
        <v>18950</v>
      </c>
      <c r="CN56" s="192">
        <v>16874</v>
      </c>
      <c r="CO56" s="161"/>
      <c r="CP56" s="285">
        <v>19807</v>
      </c>
      <c r="CQ56" s="161"/>
      <c r="CR56" s="192">
        <v>14927</v>
      </c>
      <c r="CS56" s="162"/>
    </row>
    <row r="57" spans="1:97" s="14" customFormat="1" x14ac:dyDescent="0.25">
      <c r="A57" s="16" t="s">
        <v>29</v>
      </c>
      <c r="B57" s="218"/>
      <c r="C57" s="218"/>
      <c r="D57" s="25">
        <v>57653</v>
      </c>
      <c r="E57" s="406">
        <v>58065</v>
      </c>
      <c r="F57" s="406"/>
      <c r="G57" s="406"/>
      <c r="H57" s="21"/>
      <c r="I57" s="406"/>
      <c r="J57" s="218"/>
      <c r="K57" s="25">
        <v>64489</v>
      </c>
      <c r="L57" s="423">
        <v>63051</v>
      </c>
      <c r="M57" s="406"/>
      <c r="N57" s="406">
        <v>63284</v>
      </c>
      <c r="O57" s="406"/>
      <c r="P57" s="406">
        <v>60807</v>
      </c>
      <c r="Q57" s="21"/>
      <c r="R57" s="218"/>
      <c r="S57" s="25">
        <v>67076</v>
      </c>
      <c r="T57" s="39">
        <v>69055</v>
      </c>
      <c r="U57" s="20"/>
      <c r="V57" s="39">
        <v>73562</v>
      </c>
      <c r="W57" s="20"/>
      <c r="X57" s="39">
        <v>68071</v>
      </c>
      <c r="Y57" s="21"/>
      <c r="Z57" s="218"/>
      <c r="AA57" s="25">
        <v>59025</v>
      </c>
      <c r="AB57" s="39">
        <v>59630</v>
      </c>
      <c r="AC57" s="20"/>
      <c r="AD57" s="39">
        <v>57172</v>
      </c>
      <c r="AE57" s="20"/>
      <c r="AF57" s="39">
        <v>56750</v>
      </c>
      <c r="AG57" s="21"/>
      <c r="AH57" s="218"/>
      <c r="AI57" s="25">
        <v>63309</v>
      </c>
      <c r="AJ57" s="39">
        <v>59419</v>
      </c>
      <c r="AK57" s="20"/>
      <c r="AL57" s="39">
        <v>62049</v>
      </c>
      <c r="AM57" s="20"/>
      <c r="AN57" s="39">
        <v>59724</v>
      </c>
      <c r="AO57" s="21"/>
      <c r="AP57" s="218"/>
      <c r="AQ57" s="25">
        <v>69748</v>
      </c>
      <c r="AR57" s="39">
        <v>67334</v>
      </c>
      <c r="AS57" s="20"/>
      <c r="AT57" s="39">
        <v>66775</v>
      </c>
      <c r="AU57" s="20"/>
      <c r="AV57" s="39">
        <v>63796</v>
      </c>
      <c r="AW57" s="21"/>
      <c r="AX57" s="26"/>
      <c r="AY57" s="25">
        <v>48390</v>
      </c>
      <c r="AZ57" s="39">
        <v>44898</v>
      </c>
      <c r="BA57" s="20"/>
      <c r="BB57" s="39">
        <v>45115</v>
      </c>
      <c r="BC57" s="20"/>
      <c r="BD57" s="39">
        <v>43337</v>
      </c>
      <c r="BE57" s="21"/>
      <c r="BF57" s="26"/>
      <c r="BG57" s="25">
        <v>60514</v>
      </c>
      <c r="BH57" s="39">
        <v>53116</v>
      </c>
      <c r="BI57" s="20"/>
      <c r="BJ57" s="39">
        <v>53701</v>
      </c>
      <c r="BK57" s="20"/>
      <c r="BL57" s="39">
        <v>49677</v>
      </c>
      <c r="BM57" s="21"/>
      <c r="BN57" s="26"/>
      <c r="BO57" s="25">
        <v>55485</v>
      </c>
      <c r="BP57" s="39">
        <v>60167</v>
      </c>
      <c r="BQ57" s="20"/>
      <c r="BR57" s="39">
        <v>66529</v>
      </c>
      <c r="BS57" s="20"/>
      <c r="BT57" s="39">
        <v>61609</v>
      </c>
      <c r="BU57" s="21"/>
      <c r="BV57" s="26"/>
      <c r="BW57" s="25">
        <v>57113</v>
      </c>
      <c r="BX57" s="39">
        <v>58511</v>
      </c>
      <c r="BY57" s="20"/>
      <c r="BZ57" s="39">
        <v>60647</v>
      </c>
      <c r="CA57" s="20"/>
      <c r="CB57" s="39">
        <v>55560</v>
      </c>
      <c r="CC57" s="21"/>
      <c r="CD57" s="26"/>
      <c r="CE57" s="25">
        <v>57199</v>
      </c>
      <c r="CF57" s="39">
        <v>59184</v>
      </c>
      <c r="CG57" s="20"/>
      <c r="CH57" s="39">
        <v>61678</v>
      </c>
      <c r="CI57" s="20"/>
      <c r="CJ57" s="39">
        <v>59759</v>
      </c>
      <c r="CK57" s="21"/>
      <c r="CL57" s="26"/>
      <c r="CM57" s="25">
        <v>63009</v>
      </c>
      <c r="CN57" s="39">
        <v>59206</v>
      </c>
      <c r="CO57" s="20"/>
      <c r="CP57" s="39">
        <v>61979</v>
      </c>
      <c r="CQ57" s="20"/>
      <c r="CR57" s="39">
        <v>57523</v>
      </c>
      <c r="CS57" s="21"/>
    </row>
    <row r="58" spans="1:97" s="14" customFormat="1" ht="5.25" customHeight="1" x14ac:dyDescent="0.25">
      <c r="A58" s="16"/>
      <c r="B58" s="218"/>
      <c r="C58" s="218"/>
      <c r="D58" s="25"/>
      <c r="E58" s="406"/>
      <c r="F58" s="406"/>
      <c r="G58" s="406"/>
      <c r="H58" s="21"/>
      <c r="I58" s="406"/>
      <c r="J58" s="218"/>
      <c r="K58" s="25"/>
      <c r="L58" s="423"/>
      <c r="M58" s="406"/>
      <c r="N58" s="406"/>
      <c r="O58" s="406"/>
      <c r="P58" s="406"/>
      <c r="Q58" s="21"/>
      <c r="R58" s="218"/>
      <c r="S58" s="25"/>
      <c r="T58" s="39"/>
      <c r="U58" s="20"/>
      <c r="V58" s="39"/>
      <c r="W58" s="20"/>
      <c r="X58" s="39"/>
      <c r="Y58" s="21"/>
      <c r="Z58" s="218"/>
      <c r="AA58" s="25"/>
      <c r="AB58" s="39"/>
      <c r="AC58" s="20"/>
      <c r="AD58" s="39"/>
      <c r="AE58" s="20"/>
      <c r="AF58" s="39"/>
      <c r="AG58" s="21"/>
      <c r="AH58" s="218"/>
      <c r="AI58" s="25"/>
      <c r="AJ58" s="39"/>
      <c r="AK58" s="20"/>
      <c r="AL58" s="39"/>
      <c r="AM58" s="20"/>
      <c r="AN58" s="39"/>
      <c r="AO58" s="21"/>
      <c r="AP58" s="218"/>
      <c r="AQ58" s="25"/>
      <c r="AR58" s="39"/>
      <c r="AS58" s="20"/>
      <c r="AT58" s="39"/>
      <c r="AU58" s="20"/>
      <c r="AV58" s="39"/>
      <c r="AW58" s="21"/>
      <c r="AX58" s="26"/>
      <c r="AY58" s="25"/>
      <c r="AZ58" s="39"/>
      <c r="BA58" s="20"/>
      <c r="BB58" s="39"/>
      <c r="BC58" s="20"/>
      <c r="BD58" s="39"/>
      <c r="BE58" s="21"/>
      <c r="BF58" s="26"/>
      <c r="BG58" s="25"/>
      <c r="BH58" s="39"/>
      <c r="BI58" s="20"/>
      <c r="BJ58" s="39"/>
      <c r="BK58" s="20"/>
      <c r="BL58" s="39"/>
      <c r="BM58" s="21"/>
      <c r="BN58" s="26"/>
      <c r="BO58" s="25"/>
      <c r="BP58" s="39"/>
      <c r="BQ58" s="20"/>
      <c r="BR58" s="39"/>
      <c r="BS58" s="20"/>
      <c r="BT58" s="39"/>
      <c r="BU58" s="21"/>
      <c r="BV58" s="26"/>
      <c r="BW58" s="25"/>
      <c r="BX58" s="39"/>
      <c r="BY58" s="20"/>
      <c r="BZ58" s="39"/>
      <c r="CA58" s="20"/>
      <c r="CB58" s="39"/>
      <c r="CC58" s="21"/>
      <c r="CD58" s="26"/>
      <c r="CE58" s="25"/>
      <c r="CF58" s="39"/>
      <c r="CG58" s="20"/>
      <c r="CH58" s="39"/>
      <c r="CI58" s="20"/>
      <c r="CJ58" s="39"/>
      <c r="CK58" s="21"/>
      <c r="CL58" s="26"/>
      <c r="CM58" s="25"/>
      <c r="CN58" s="39"/>
      <c r="CO58" s="20"/>
      <c r="CP58" s="39"/>
      <c r="CQ58" s="20"/>
      <c r="CR58" s="39"/>
      <c r="CS58" s="21"/>
    </row>
    <row r="59" spans="1:97" s="14" customFormat="1" x14ac:dyDescent="0.25">
      <c r="A59" s="16" t="s">
        <v>36</v>
      </c>
      <c r="B59" s="218"/>
      <c r="C59" s="218"/>
      <c r="D59" s="25">
        <v>30174</v>
      </c>
      <c r="E59" s="406">
        <v>34280</v>
      </c>
      <c r="F59" s="406"/>
      <c r="G59" s="406"/>
      <c r="H59" s="21"/>
      <c r="I59" s="406"/>
      <c r="J59" s="218"/>
      <c r="K59" s="25">
        <v>18376</v>
      </c>
      <c r="L59" s="423">
        <v>20235</v>
      </c>
      <c r="M59" s="406"/>
      <c r="N59" s="406">
        <v>23901</v>
      </c>
      <c r="O59" s="406"/>
      <c r="P59" s="406">
        <v>26692</v>
      </c>
      <c r="Q59" s="21"/>
      <c r="R59" s="218"/>
      <c r="S59" s="25">
        <v>14510</v>
      </c>
      <c r="T59" s="39">
        <v>14856</v>
      </c>
      <c r="U59" s="20"/>
      <c r="V59" s="39">
        <v>15027</v>
      </c>
      <c r="W59" s="20"/>
      <c r="X59" s="39">
        <v>16760</v>
      </c>
      <c r="Y59" s="21"/>
      <c r="Z59" s="218"/>
      <c r="AA59" s="25">
        <v>14479</v>
      </c>
      <c r="AB59" s="39">
        <v>14900</v>
      </c>
      <c r="AC59" s="20"/>
      <c r="AD59" s="39">
        <v>14460</v>
      </c>
      <c r="AE59" s="20"/>
      <c r="AF59" s="39">
        <v>14348</v>
      </c>
      <c r="AG59" s="21"/>
      <c r="AH59" s="218"/>
      <c r="AI59" s="25">
        <v>9359</v>
      </c>
      <c r="AJ59" s="39">
        <v>10182</v>
      </c>
      <c r="AK59" s="20"/>
      <c r="AL59" s="39">
        <v>10876</v>
      </c>
      <c r="AM59" s="20"/>
      <c r="AN59" s="39">
        <v>13225</v>
      </c>
      <c r="AO59" s="21"/>
      <c r="AP59" s="218"/>
      <c r="AQ59" s="25">
        <v>5011</v>
      </c>
      <c r="AR59" s="39">
        <v>5931</v>
      </c>
      <c r="AS59" s="20"/>
      <c r="AT59" s="39">
        <v>6863</v>
      </c>
      <c r="AU59" s="20"/>
      <c r="AV59" s="39">
        <v>8348</v>
      </c>
      <c r="AW59" s="21"/>
      <c r="AX59" s="26"/>
      <c r="AY59" s="25">
        <v>28873</v>
      </c>
      <c r="AZ59" s="39">
        <v>30129</v>
      </c>
      <c r="BA59" s="20"/>
      <c r="BB59" s="39">
        <v>31706</v>
      </c>
      <c r="BC59" s="20"/>
      <c r="BD59" s="39">
        <v>33727</v>
      </c>
      <c r="BE59" s="21"/>
      <c r="BF59" s="26"/>
      <c r="BG59" s="25">
        <v>33131</v>
      </c>
      <c r="BH59" s="39">
        <v>31121</v>
      </c>
      <c r="BI59" s="20"/>
      <c r="BJ59" s="39">
        <v>29267</v>
      </c>
      <c r="BK59" s="20"/>
      <c r="BL59" s="39">
        <v>28571</v>
      </c>
      <c r="BM59" s="21"/>
      <c r="BN59" s="26"/>
      <c r="BO59" s="25">
        <v>28051</v>
      </c>
      <c r="BP59" s="39">
        <v>29584</v>
      </c>
      <c r="BQ59" s="20"/>
      <c r="BR59" s="39">
        <v>31930</v>
      </c>
      <c r="BS59" s="20"/>
      <c r="BT59" s="39">
        <v>32676</v>
      </c>
      <c r="BU59" s="21"/>
      <c r="BV59" s="26"/>
      <c r="BW59" s="25">
        <v>25465</v>
      </c>
      <c r="BX59" s="39">
        <v>25854</v>
      </c>
      <c r="BY59" s="20"/>
      <c r="BZ59" s="39">
        <v>26469</v>
      </c>
      <c r="CA59" s="20"/>
      <c r="CB59" s="39">
        <v>26798</v>
      </c>
      <c r="CC59" s="21"/>
      <c r="CD59" s="26"/>
      <c r="CE59" s="25">
        <v>25591</v>
      </c>
      <c r="CF59" s="39">
        <v>25587</v>
      </c>
      <c r="CG59" s="20"/>
      <c r="CH59" s="39">
        <v>25791</v>
      </c>
      <c r="CI59" s="20"/>
      <c r="CJ59" s="39">
        <v>25774</v>
      </c>
      <c r="CK59" s="21"/>
      <c r="CL59" s="26"/>
      <c r="CM59" s="25">
        <v>27282</v>
      </c>
      <c r="CN59" s="39">
        <v>26492</v>
      </c>
      <c r="CO59" s="20"/>
      <c r="CP59" s="39">
        <v>26076</v>
      </c>
      <c r="CQ59" s="20"/>
      <c r="CR59" s="39">
        <v>25681</v>
      </c>
      <c r="CS59" s="21"/>
    </row>
    <row r="60" spans="1:97" ht="7.5" customHeight="1" x14ac:dyDescent="0.25">
      <c r="A60" s="5"/>
      <c r="B60" s="218"/>
      <c r="C60" s="218"/>
      <c r="D60" s="25"/>
      <c r="E60" s="406"/>
      <c r="F60" s="406"/>
      <c r="G60" s="406"/>
      <c r="H60" s="21"/>
      <c r="I60" s="406"/>
      <c r="J60" s="218"/>
      <c r="K60" s="25"/>
      <c r="L60" s="449"/>
      <c r="M60" s="449"/>
      <c r="N60" s="449"/>
      <c r="O60" s="449"/>
      <c r="P60" s="449"/>
      <c r="Q60" s="37"/>
      <c r="R60" s="218"/>
      <c r="S60" s="25"/>
      <c r="T60" s="36"/>
      <c r="U60" s="36"/>
      <c r="V60" s="36"/>
      <c r="W60" s="36"/>
      <c r="X60" s="36"/>
      <c r="Y60" s="37"/>
      <c r="Z60" s="218"/>
      <c r="AA60" s="25"/>
      <c r="AB60" s="36"/>
      <c r="AC60" s="36"/>
      <c r="AD60" s="36"/>
      <c r="AE60" s="36"/>
      <c r="AF60" s="36"/>
      <c r="AG60" s="37"/>
      <c r="AH60" s="218"/>
      <c r="AI60" s="25"/>
      <c r="AJ60" s="36"/>
      <c r="AK60" s="36"/>
      <c r="AL60" s="36"/>
      <c r="AM60" s="36"/>
      <c r="AN60" s="36"/>
      <c r="AO60" s="37"/>
      <c r="AP60" s="218"/>
      <c r="AQ60" s="25"/>
      <c r="AR60" s="36"/>
      <c r="AS60" s="36"/>
      <c r="AT60" s="36"/>
      <c r="AU60" s="36"/>
      <c r="AV60" s="36"/>
      <c r="AW60" s="37"/>
      <c r="AX60" s="26"/>
      <c r="AY60" s="25"/>
      <c r="AZ60" s="36"/>
      <c r="BA60" s="36"/>
      <c r="BB60" s="36"/>
      <c r="BC60" s="36"/>
      <c r="BD60" s="36"/>
      <c r="BE60" s="37"/>
      <c r="BF60" s="26"/>
      <c r="BG60" s="25"/>
      <c r="BH60" s="36"/>
      <c r="BI60" s="36"/>
      <c r="BJ60" s="36"/>
      <c r="BK60" s="36"/>
      <c r="BL60" s="36"/>
      <c r="BM60" s="37"/>
      <c r="BN60" s="6"/>
      <c r="BO60" s="25"/>
      <c r="BP60" s="36"/>
      <c r="BQ60" s="36"/>
      <c r="BR60" s="36"/>
      <c r="BS60" s="36"/>
      <c r="BT60" s="36"/>
      <c r="BU60" s="37"/>
      <c r="BV60" s="6"/>
      <c r="BW60" s="25"/>
      <c r="BX60" s="36"/>
      <c r="BY60" s="36"/>
      <c r="BZ60" s="36"/>
      <c r="CA60" s="36"/>
      <c r="CB60" s="36"/>
      <c r="CC60" s="37"/>
      <c r="CD60" s="6"/>
      <c r="CE60" s="25"/>
      <c r="CF60" s="36"/>
      <c r="CG60" s="36"/>
      <c r="CH60" s="36"/>
      <c r="CI60" s="36"/>
      <c r="CJ60" s="36"/>
      <c r="CK60" s="37"/>
      <c r="CL60" s="6"/>
      <c r="CM60" s="25"/>
      <c r="CN60" s="36"/>
      <c r="CO60" s="36"/>
      <c r="CP60" s="36"/>
      <c r="CQ60" s="36"/>
      <c r="CR60" s="36"/>
      <c r="CS60" s="37"/>
    </row>
    <row r="61" spans="1:97" s="14" customFormat="1" x14ac:dyDescent="0.25">
      <c r="A61" s="16" t="s">
        <v>66</v>
      </c>
      <c r="B61" s="218"/>
      <c r="C61" s="218"/>
      <c r="D61" s="25">
        <v>47</v>
      </c>
      <c r="E61" s="406">
        <v>47</v>
      </c>
      <c r="F61" s="406">
        <v>94</v>
      </c>
      <c r="G61" s="406"/>
      <c r="H61" s="21"/>
      <c r="I61" s="406"/>
      <c r="J61" s="218"/>
      <c r="K61" s="25">
        <v>186</v>
      </c>
      <c r="L61" s="442">
        <v>106</v>
      </c>
      <c r="M61" s="423">
        <v>292</v>
      </c>
      <c r="N61" s="423">
        <v>146</v>
      </c>
      <c r="O61" s="423">
        <v>438</v>
      </c>
      <c r="P61" s="423">
        <v>266</v>
      </c>
      <c r="Q61" s="40">
        <v>704</v>
      </c>
      <c r="R61" s="218"/>
      <c r="S61" s="25">
        <v>126</v>
      </c>
      <c r="T61" s="103">
        <v>181</v>
      </c>
      <c r="U61" s="39">
        <v>307</v>
      </c>
      <c r="V61" s="103">
        <v>413</v>
      </c>
      <c r="W61" s="39">
        <v>720</v>
      </c>
      <c r="X61" s="103">
        <v>-186</v>
      </c>
      <c r="Y61" s="40">
        <v>534</v>
      </c>
      <c r="Z61" s="218"/>
      <c r="AA61" s="25">
        <v>61</v>
      </c>
      <c r="AB61" s="103">
        <v>874</v>
      </c>
      <c r="AC61" s="39">
        <v>935</v>
      </c>
      <c r="AD61" s="103">
        <v>104</v>
      </c>
      <c r="AE61" s="39">
        <v>1039</v>
      </c>
      <c r="AF61" s="103">
        <v>91</v>
      </c>
      <c r="AG61" s="40">
        <v>1130</v>
      </c>
      <c r="AH61" s="218"/>
      <c r="AI61" s="25">
        <v>143</v>
      </c>
      <c r="AJ61" s="103">
        <v>156</v>
      </c>
      <c r="AK61" s="39">
        <v>299</v>
      </c>
      <c r="AL61" s="103">
        <v>90</v>
      </c>
      <c r="AM61" s="39">
        <v>389</v>
      </c>
      <c r="AN61" s="103">
        <v>317</v>
      </c>
      <c r="AO61" s="40">
        <v>706</v>
      </c>
      <c r="AP61" s="218"/>
      <c r="AQ61" s="25">
        <v>643</v>
      </c>
      <c r="AR61" s="39">
        <v>123</v>
      </c>
      <c r="AS61" s="39">
        <v>766</v>
      </c>
      <c r="AT61" s="39">
        <v>84</v>
      </c>
      <c r="AU61" s="39">
        <v>850</v>
      </c>
      <c r="AV61" s="39">
        <v>248</v>
      </c>
      <c r="AW61" s="40">
        <v>1098</v>
      </c>
      <c r="AX61" s="26"/>
      <c r="AY61" s="25">
        <v>126</v>
      </c>
      <c r="AZ61" s="39">
        <v>74</v>
      </c>
      <c r="BA61" s="39">
        <v>200</v>
      </c>
      <c r="BB61" s="39">
        <v>558</v>
      </c>
      <c r="BC61" s="39">
        <v>758</v>
      </c>
      <c r="BD61" s="39">
        <v>400</v>
      </c>
      <c r="BE61" s="40">
        <v>1158</v>
      </c>
      <c r="BF61" s="26"/>
      <c r="BG61" s="25">
        <v>350</v>
      </c>
      <c r="BH61" s="39">
        <v>83</v>
      </c>
      <c r="BI61" s="39">
        <v>433</v>
      </c>
      <c r="BJ61" s="39">
        <v>75</v>
      </c>
      <c r="BK61" s="39">
        <v>508</v>
      </c>
      <c r="BL61" s="39">
        <v>340</v>
      </c>
      <c r="BM61" s="40">
        <v>848</v>
      </c>
      <c r="BN61" s="30"/>
      <c r="BO61" s="25">
        <v>76</v>
      </c>
      <c r="BP61" s="39">
        <v>69</v>
      </c>
      <c r="BQ61" s="39">
        <v>145</v>
      </c>
      <c r="BR61" s="39">
        <v>384</v>
      </c>
      <c r="BS61" s="39">
        <v>529</v>
      </c>
      <c r="BT61" s="39">
        <v>502</v>
      </c>
      <c r="BU61" s="40">
        <v>1031</v>
      </c>
      <c r="BV61" s="30"/>
      <c r="BW61" s="25">
        <v>133</v>
      </c>
      <c r="BX61" s="39">
        <v>151</v>
      </c>
      <c r="BY61" s="39">
        <v>284</v>
      </c>
      <c r="BZ61" s="39">
        <v>2</v>
      </c>
      <c r="CA61" s="39">
        <v>286</v>
      </c>
      <c r="CB61" s="39">
        <v>155</v>
      </c>
      <c r="CC61" s="40">
        <v>441</v>
      </c>
      <c r="CD61" s="30"/>
      <c r="CE61" s="25">
        <v>218</v>
      </c>
      <c r="CF61" s="39">
        <v>-92</v>
      </c>
      <c r="CG61" s="39">
        <v>126</v>
      </c>
      <c r="CH61" s="39">
        <v>127</v>
      </c>
      <c r="CI61" s="39">
        <v>253</v>
      </c>
      <c r="CJ61" s="39">
        <v>569</v>
      </c>
      <c r="CK61" s="40">
        <v>822</v>
      </c>
      <c r="CL61" s="30"/>
      <c r="CM61" s="25">
        <v>0</v>
      </c>
      <c r="CN61" s="39">
        <v>146</v>
      </c>
      <c r="CO61" s="39">
        <v>146</v>
      </c>
      <c r="CP61" s="39">
        <v>113</v>
      </c>
      <c r="CQ61" s="39">
        <v>259</v>
      </c>
      <c r="CR61" s="39">
        <v>358</v>
      </c>
      <c r="CS61" s="40">
        <v>617</v>
      </c>
    </row>
    <row r="62" spans="1:97" s="14" customFormat="1" ht="9.75" customHeight="1" x14ac:dyDescent="0.25">
      <c r="A62" s="16"/>
      <c r="B62" s="218"/>
      <c r="C62" s="218"/>
      <c r="D62" s="25"/>
      <c r="E62" s="406"/>
      <c r="F62" s="406"/>
      <c r="G62" s="406"/>
      <c r="H62" s="21"/>
      <c r="I62" s="406"/>
      <c r="J62" s="218"/>
      <c r="K62" s="25"/>
      <c r="L62" s="442"/>
      <c r="M62" s="423"/>
      <c r="N62" s="423"/>
      <c r="O62" s="423"/>
      <c r="P62" s="423"/>
      <c r="Q62" s="40"/>
      <c r="R62" s="218"/>
      <c r="S62" s="25"/>
      <c r="T62" s="103"/>
      <c r="U62" s="39"/>
      <c r="V62" s="103"/>
      <c r="W62" s="39"/>
      <c r="X62" s="103"/>
      <c r="Y62" s="40"/>
      <c r="Z62" s="218"/>
      <c r="AA62" s="25"/>
      <c r="AB62" s="103"/>
      <c r="AC62" s="39"/>
      <c r="AD62" s="103"/>
      <c r="AE62" s="39"/>
      <c r="AF62" s="103"/>
      <c r="AG62" s="40"/>
      <c r="AH62" s="218"/>
      <c r="AI62" s="25"/>
      <c r="AJ62" s="103"/>
      <c r="AK62" s="39"/>
      <c r="AL62" s="103"/>
      <c r="AM62" s="39"/>
      <c r="AN62" s="103"/>
      <c r="AO62" s="40"/>
      <c r="AP62" s="218"/>
      <c r="AQ62" s="25"/>
      <c r="AR62" s="39"/>
      <c r="AS62" s="39"/>
      <c r="AT62" s="39"/>
      <c r="AU62" s="39"/>
      <c r="AV62" s="39"/>
      <c r="AW62" s="40"/>
      <c r="AX62" s="26"/>
      <c r="AY62" s="25"/>
      <c r="AZ62" s="39"/>
      <c r="BA62" s="39"/>
      <c r="BB62" s="39"/>
      <c r="BC62" s="39"/>
      <c r="BD62" s="39"/>
      <c r="BE62" s="40"/>
      <c r="BF62" s="26"/>
      <c r="BG62" s="25"/>
      <c r="BH62" s="39"/>
      <c r="BI62" s="39"/>
      <c r="BJ62" s="39"/>
      <c r="BK62" s="39"/>
      <c r="BL62" s="39"/>
      <c r="BM62" s="40"/>
      <c r="BN62" s="30"/>
      <c r="BO62" s="25"/>
      <c r="BP62" s="39"/>
      <c r="BQ62" s="39"/>
      <c r="BR62" s="39"/>
      <c r="BS62" s="39"/>
      <c r="BT62" s="39"/>
      <c r="BU62" s="40"/>
      <c r="BV62" s="30"/>
      <c r="BW62" s="25"/>
      <c r="BX62" s="39"/>
      <c r="BY62" s="39"/>
      <c r="BZ62" s="39"/>
      <c r="CA62" s="39"/>
      <c r="CB62" s="39"/>
      <c r="CC62" s="40"/>
      <c r="CD62" s="30"/>
      <c r="CE62" s="25"/>
      <c r="CF62" s="39"/>
      <c r="CG62" s="39"/>
      <c r="CH62" s="39"/>
      <c r="CI62" s="39"/>
      <c r="CJ62" s="39"/>
      <c r="CK62" s="40"/>
      <c r="CL62" s="30"/>
      <c r="CM62" s="25"/>
      <c r="CN62" s="39"/>
      <c r="CO62" s="39"/>
      <c r="CP62" s="39"/>
      <c r="CQ62" s="39"/>
      <c r="CR62" s="39"/>
      <c r="CS62" s="40"/>
    </row>
    <row r="63" spans="1:97" s="14" customFormat="1" x14ac:dyDescent="0.25">
      <c r="A63" s="419" t="s">
        <v>170</v>
      </c>
      <c r="B63" s="218"/>
      <c r="C63" s="218"/>
      <c r="D63" s="25">
        <v>200</v>
      </c>
      <c r="E63" s="406">
        <v>975</v>
      </c>
      <c r="F63" s="406">
        <v>1175</v>
      </c>
      <c r="G63" s="406"/>
      <c r="H63" s="21"/>
      <c r="I63" s="406"/>
      <c r="J63" s="218"/>
      <c r="K63" s="25">
        <v>245</v>
      </c>
      <c r="L63" s="442">
        <v>40</v>
      </c>
      <c r="M63" s="423">
        <v>285</v>
      </c>
      <c r="N63" s="423">
        <v>153</v>
      </c>
      <c r="O63" s="423">
        <v>438</v>
      </c>
      <c r="P63" s="423">
        <v>216</v>
      </c>
      <c r="Q63" s="40">
        <v>654</v>
      </c>
      <c r="R63" s="218"/>
      <c r="S63" s="25">
        <v>0</v>
      </c>
      <c r="T63" s="103">
        <v>0</v>
      </c>
      <c r="U63" s="39">
        <v>0</v>
      </c>
      <c r="V63" s="103">
        <v>0</v>
      </c>
      <c r="W63" s="39">
        <v>0</v>
      </c>
      <c r="X63" s="103">
        <v>531</v>
      </c>
      <c r="Y63" s="40">
        <v>531</v>
      </c>
      <c r="Z63" s="218"/>
      <c r="AA63" s="25">
        <v>0</v>
      </c>
      <c r="AB63" s="103">
        <v>0</v>
      </c>
      <c r="AC63" s="39">
        <v>0</v>
      </c>
      <c r="AD63" s="103">
        <v>0</v>
      </c>
      <c r="AE63" s="39">
        <v>0</v>
      </c>
      <c r="AF63" s="103">
        <v>0</v>
      </c>
      <c r="AG63" s="40">
        <v>0</v>
      </c>
      <c r="AH63" s="218"/>
      <c r="AI63" s="25">
        <v>0</v>
      </c>
      <c r="AJ63" s="103">
        <v>0</v>
      </c>
      <c r="AK63" s="39">
        <v>0</v>
      </c>
      <c r="AL63" s="103">
        <v>0</v>
      </c>
      <c r="AM63" s="39">
        <v>0</v>
      </c>
      <c r="AN63" s="103">
        <v>0</v>
      </c>
      <c r="AO63" s="40">
        <v>0</v>
      </c>
      <c r="AP63" s="218"/>
      <c r="AQ63" s="25">
        <v>0</v>
      </c>
      <c r="AR63" s="39">
        <v>0</v>
      </c>
      <c r="AS63" s="39">
        <v>0</v>
      </c>
      <c r="AT63" s="39">
        <v>0</v>
      </c>
      <c r="AU63" s="39">
        <v>0</v>
      </c>
      <c r="AV63" s="39">
        <v>0</v>
      </c>
      <c r="AW63" s="40">
        <v>0</v>
      </c>
      <c r="AX63" s="26"/>
      <c r="AY63" s="25"/>
      <c r="AZ63" s="39"/>
      <c r="BA63" s="39"/>
      <c r="BB63" s="39"/>
      <c r="BC63" s="39"/>
      <c r="BD63" s="39"/>
      <c r="BE63" s="40"/>
      <c r="BF63" s="26"/>
      <c r="BG63" s="25"/>
      <c r="BH63" s="39"/>
      <c r="BI63" s="39"/>
      <c r="BJ63" s="39"/>
      <c r="BK63" s="39"/>
      <c r="BL63" s="39"/>
      <c r="BM63" s="40"/>
      <c r="BN63" s="30"/>
      <c r="BO63" s="25"/>
      <c r="BP63" s="39"/>
      <c r="BQ63" s="39"/>
      <c r="BR63" s="39"/>
      <c r="BS63" s="39"/>
      <c r="BT63" s="39"/>
      <c r="BU63" s="40"/>
      <c r="BV63" s="30"/>
      <c r="BW63" s="25"/>
      <c r="BX63" s="39"/>
      <c r="BY63" s="39"/>
      <c r="BZ63" s="39"/>
      <c r="CA63" s="39"/>
      <c r="CB63" s="39"/>
      <c r="CC63" s="40"/>
      <c r="CD63" s="30"/>
      <c r="CE63" s="25"/>
      <c r="CF63" s="39"/>
      <c r="CG63" s="39"/>
      <c r="CH63" s="39"/>
      <c r="CI63" s="39"/>
      <c r="CJ63" s="39"/>
      <c r="CK63" s="40"/>
      <c r="CL63" s="30"/>
      <c r="CM63" s="25"/>
      <c r="CN63" s="39"/>
      <c r="CO63" s="39"/>
      <c r="CP63" s="39"/>
      <c r="CQ63" s="39"/>
      <c r="CR63" s="39"/>
      <c r="CS63" s="40"/>
    </row>
    <row r="64" spans="1:97" s="14" customFormat="1" ht="7.5" customHeight="1" x14ac:dyDescent="0.25">
      <c r="A64" s="16"/>
      <c r="B64" s="218"/>
      <c r="C64" s="218"/>
      <c r="D64" s="25"/>
      <c r="E64" s="406"/>
      <c r="F64" s="406"/>
      <c r="G64" s="406"/>
      <c r="H64" s="21"/>
      <c r="I64" s="406"/>
      <c r="J64" s="218"/>
      <c r="K64" s="25"/>
      <c r="L64" s="423"/>
      <c r="M64" s="423"/>
      <c r="N64" s="423"/>
      <c r="O64" s="423"/>
      <c r="P64" s="423"/>
      <c r="Q64" s="40"/>
      <c r="R64" s="218"/>
      <c r="S64" s="25"/>
      <c r="T64" s="39"/>
      <c r="U64" s="39"/>
      <c r="V64" s="26"/>
      <c r="W64" s="39"/>
      <c r="X64" s="39"/>
      <c r="Y64" s="40"/>
      <c r="Z64" s="218"/>
      <c r="AA64" s="25"/>
      <c r="AB64" s="39"/>
      <c r="AC64" s="39"/>
      <c r="AD64" s="26"/>
      <c r="AE64" s="39"/>
      <c r="AF64" s="39"/>
      <c r="AG64" s="40"/>
      <c r="AH64" s="218"/>
      <c r="AI64" s="25"/>
      <c r="AJ64" s="39"/>
      <c r="AK64" s="39"/>
      <c r="AL64" s="26"/>
      <c r="AM64" s="39"/>
      <c r="AN64" s="39"/>
      <c r="AO64" s="40"/>
      <c r="AP64" s="218"/>
      <c r="AQ64" s="25"/>
      <c r="AR64" s="39"/>
      <c r="AS64" s="39"/>
      <c r="AT64" s="26"/>
      <c r="AU64" s="39"/>
      <c r="AV64" s="39"/>
      <c r="AW64" s="40"/>
      <c r="AX64" s="26"/>
      <c r="AY64" s="25"/>
      <c r="AZ64" s="39"/>
      <c r="BA64" s="39"/>
      <c r="BB64" s="26"/>
      <c r="BC64" s="39"/>
      <c r="BD64" s="39"/>
      <c r="BE64" s="40"/>
      <c r="BF64" s="26"/>
      <c r="BG64" s="25"/>
      <c r="BH64" s="39"/>
      <c r="BI64" s="39"/>
      <c r="BJ64" s="26"/>
      <c r="BK64" s="39"/>
      <c r="BL64" s="39"/>
      <c r="BM64" s="40"/>
      <c r="BN64" s="30"/>
      <c r="BO64" s="25"/>
      <c r="BP64" s="39"/>
      <c r="BQ64" s="39"/>
      <c r="BR64" s="26"/>
      <c r="BS64" s="39"/>
      <c r="BT64" s="39"/>
      <c r="BU64" s="40"/>
      <c r="BV64" s="30"/>
      <c r="BW64" s="25"/>
      <c r="BX64" s="39"/>
      <c r="BY64" s="39"/>
      <c r="BZ64" s="26"/>
      <c r="CA64" s="39"/>
      <c r="CB64" s="39"/>
      <c r="CC64" s="40"/>
      <c r="CD64" s="30"/>
      <c r="CE64" s="25"/>
      <c r="CF64" s="39"/>
      <c r="CG64" s="39"/>
      <c r="CH64" s="26"/>
      <c r="CI64" s="39"/>
      <c r="CJ64" s="39"/>
      <c r="CK64" s="40"/>
      <c r="CL64" s="30"/>
      <c r="CM64" s="25"/>
      <c r="CN64" s="39"/>
      <c r="CO64" s="39"/>
      <c r="CP64" s="26"/>
      <c r="CQ64" s="39"/>
      <c r="CR64" s="39"/>
      <c r="CS64" s="40"/>
    </row>
    <row r="65" spans="1:97" s="14" customFormat="1" x14ac:dyDescent="0.25">
      <c r="A65" s="43" t="s">
        <v>67</v>
      </c>
      <c r="B65" s="218"/>
      <c r="C65" s="218"/>
      <c r="D65" s="25"/>
      <c r="E65" s="406"/>
      <c r="F65" s="406"/>
      <c r="G65" s="406"/>
      <c r="H65" s="21"/>
      <c r="I65" s="406"/>
      <c r="J65" s="218"/>
      <c r="K65" s="25"/>
      <c r="L65" s="26"/>
      <c r="M65" s="423"/>
      <c r="N65" s="423"/>
      <c r="O65" s="423"/>
      <c r="P65" s="423"/>
      <c r="Q65" s="40"/>
      <c r="R65" s="218"/>
      <c r="S65" s="25"/>
      <c r="T65" s="26"/>
      <c r="U65" s="39"/>
      <c r="V65" s="26"/>
      <c r="W65" s="39"/>
      <c r="X65" s="26"/>
      <c r="Y65" s="40"/>
      <c r="Z65" s="218"/>
      <c r="AA65" s="25"/>
      <c r="AB65" s="26"/>
      <c r="AC65" s="39"/>
      <c r="AD65" s="26"/>
      <c r="AE65" s="39"/>
      <c r="AF65" s="26"/>
      <c r="AG65" s="40"/>
      <c r="AH65" s="218"/>
      <c r="AI65" s="25"/>
      <c r="AJ65" s="26"/>
      <c r="AK65" s="39"/>
      <c r="AL65" s="26"/>
      <c r="AM65" s="39"/>
      <c r="AN65" s="26"/>
      <c r="AO65" s="40"/>
      <c r="AP65" s="218"/>
      <c r="AQ65" s="25"/>
      <c r="AR65" s="26"/>
      <c r="AS65" s="39"/>
      <c r="AT65" s="26"/>
      <c r="AU65" s="39"/>
      <c r="AV65" s="26"/>
      <c r="AW65" s="40"/>
      <c r="AX65" s="26"/>
      <c r="AY65" s="25"/>
      <c r="AZ65" s="26"/>
      <c r="BA65" s="39"/>
      <c r="BB65" s="26"/>
      <c r="BC65" s="39"/>
      <c r="BD65" s="26"/>
      <c r="BE65" s="40"/>
      <c r="BF65" s="26"/>
      <c r="BG65" s="25"/>
      <c r="BH65" s="26"/>
      <c r="BI65" s="39"/>
      <c r="BJ65" s="26"/>
      <c r="BK65" s="39"/>
      <c r="BL65" s="26"/>
      <c r="BM65" s="40"/>
      <c r="BN65" s="30"/>
      <c r="BO65" s="25"/>
      <c r="BP65" s="26"/>
      <c r="BQ65" s="39"/>
      <c r="BR65" s="26"/>
      <c r="BS65" s="39"/>
      <c r="BT65" s="44"/>
      <c r="BU65" s="40"/>
      <c r="BV65" s="30"/>
      <c r="BW65" s="25"/>
      <c r="BX65" s="26"/>
      <c r="BY65" s="39"/>
      <c r="BZ65" s="26"/>
      <c r="CA65" s="39"/>
      <c r="CB65" s="26"/>
      <c r="CC65" s="40"/>
      <c r="CD65" s="30"/>
      <c r="CE65" s="25"/>
      <c r="CF65" s="26"/>
      <c r="CG65" s="39"/>
      <c r="CH65" s="26"/>
      <c r="CI65" s="39"/>
      <c r="CJ65" s="26"/>
      <c r="CK65" s="40"/>
      <c r="CL65" s="30"/>
      <c r="CM65" s="25"/>
      <c r="CN65" s="26"/>
      <c r="CO65" s="39"/>
      <c r="CP65" s="26"/>
      <c r="CQ65" s="39"/>
      <c r="CR65" s="26"/>
      <c r="CS65" s="40"/>
    </row>
    <row r="66" spans="1:97" s="14" customFormat="1" x14ac:dyDescent="0.25">
      <c r="A66" s="16" t="s">
        <v>68</v>
      </c>
      <c r="B66" s="218"/>
      <c r="C66" s="218"/>
      <c r="D66" s="25"/>
      <c r="E66" s="406"/>
      <c r="F66" s="406"/>
      <c r="G66" s="406"/>
      <c r="H66" s="21"/>
      <c r="I66" s="406"/>
      <c r="J66" s="218"/>
      <c r="K66" s="25"/>
      <c r="L66" s="430"/>
      <c r="M66" s="468"/>
      <c r="N66" s="468"/>
      <c r="O66" s="468"/>
      <c r="P66" s="47">
        <v>0.91200000000000003</v>
      </c>
      <c r="Q66" s="48"/>
      <c r="R66" s="218"/>
      <c r="S66" s="25"/>
      <c r="T66" s="39"/>
      <c r="U66" s="46"/>
      <c r="V66" s="26"/>
      <c r="W66" s="46"/>
      <c r="X66" s="47">
        <v>0.91200000000000003</v>
      </c>
      <c r="Y66" s="48"/>
      <c r="Z66" s="218"/>
      <c r="AA66" s="25"/>
      <c r="AB66" s="39"/>
      <c r="AC66" s="46"/>
      <c r="AD66" s="26"/>
      <c r="AE66" s="46"/>
      <c r="AF66" s="47">
        <v>0.88600000000000001</v>
      </c>
      <c r="AG66" s="48"/>
      <c r="AH66" s="218"/>
      <c r="AI66" s="25"/>
      <c r="AJ66" s="39"/>
      <c r="AK66" s="46"/>
      <c r="AL66" s="26"/>
      <c r="AM66" s="46"/>
      <c r="AN66" s="47">
        <v>0.88600000000000001</v>
      </c>
      <c r="AO66" s="48"/>
      <c r="AP66" s="218"/>
      <c r="AQ66" s="25"/>
      <c r="AR66" s="39"/>
      <c r="AS66" s="46"/>
      <c r="AT66" s="26"/>
      <c r="AU66" s="46"/>
      <c r="AV66" s="47">
        <v>0.88600000000000001</v>
      </c>
      <c r="AW66" s="48"/>
      <c r="AX66" s="26"/>
      <c r="AY66" s="25"/>
      <c r="AZ66" s="39"/>
      <c r="BA66" s="46"/>
      <c r="BB66" s="26"/>
      <c r="BC66" s="46"/>
      <c r="BD66" s="47">
        <v>0.96199999999999997</v>
      </c>
      <c r="BE66" s="48"/>
      <c r="BF66" s="26"/>
      <c r="BG66" s="25"/>
      <c r="BH66" s="39"/>
      <c r="BI66" s="46"/>
      <c r="BJ66" s="26"/>
      <c r="BK66" s="46"/>
      <c r="BL66" s="47">
        <v>0.96199999999999997</v>
      </c>
      <c r="BM66" s="48"/>
      <c r="BN66" s="30"/>
      <c r="BO66" s="25"/>
      <c r="BP66" s="39"/>
      <c r="BQ66" s="46"/>
      <c r="BR66" s="26"/>
      <c r="BS66" s="46"/>
      <c r="BT66" s="47">
        <v>0.96199999999999997</v>
      </c>
      <c r="BU66" s="48"/>
      <c r="BV66" s="30"/>
      <c r="BW66" s="25"/>
      <c r="BX66" s="39"/>
      <c r="BY66" s="46"/>
      <c r="BZ66" s="26"/>
      <c r="CA66" s="46"/>
      <c r="CB66" s="47">
        <v>0.96199999999999997</v>
      </c>
      <c r="CC66" s="48"/>
      <c r="CD66" s="30"/>
      <c r="CE66" s="25"/>
      <c r="CF66" s="39"/>
      <c r="CG66" s="46"/>
      <c r="CH66" s="26"/>
      <c r="CI66" s="46"/>
      <c r="CJ66" s="47">
        <v>0.96199999999999997</v>
      </c>
      <c r="CK66" s="48"/>
      <c r="CL66" s="30"/>
      <c r="CM66" s="25"/>
      <c r="CN66" s="39"/>
      <c r="CO66" s="46"/>
      <c r="CP66" s="26"/>
      <c r="CQ66" s="46"/>
      <c r="CR66" s="47">
        <v>0.96199999999999997</v>
      </c>
      <c r="CS66" s="48"/>
    </row>
    <row r="67" spans="1:97" s="14" customFormat="1" ht="15.75" thickBot="1" x14ac:dyDescent="0.3">
      <c r="A67" s="12" t="s">
        <v>69</v>
      </c>
      <c r="B67" s="218"/>
      <c r="C67" s="218"/>
      <c r="D67" s="50"/>
      <c r="E67" s="51"/>
      <c r="F67" s="51"/>
      <c r="G67" s="51"/>
      <c r="H67" s="53"/>
      <c r="I67" s="406"/>
      <c r="J67" s="218"/>
      <c r="K67" s="50"/>
      <c r="L67" s="58"/>
      <c r="M67" s="469"/>
      <c r="N67" s="469"/>
      <c r="O67" s="469"/>
      <c r="P67" s="58">
        <v>0.86</v>
      </c>
      <c r="Q67" s="59"/>
      <c r="R67" s="218"/>
      <c r="S67" s="50"/>
      <c r="T67" s="55"/>
      <c r="U67" s="56"/>
      <c r="V67" s="57"/>
      <c r="W67" s="56"/>
      <c r="X67" s="58">
        <v>0.86</v>
      </c>
      <c r="Y67" s="59"/>
      <c r="Z67" s="218"/>
      <c r="AA67" s="50"/>
      <c r="AB67" s="55"/>
      <c r="AC67" s="56"/>
      <c r="AD67" s="57"/>
      <c r="AE67" s="56"/>
      <c r="AF67" s="58">
        <v>0.85199999999999998</v>
      </c>
      <c r="AG67" s="59"/>
      <c r="AH67" s="218"/>
      <c r="AI67" s="50"/>
      <c r="AJ67" s="55"/>
      <c r="AK67" s="56"/>
      <c r="AL67" s="57"/>
      <c r="AM67" s="56"/>
      <c r="AN67" s="58">
        <v>0.84699999999999998</v>
      </c>
      <c r="AO67" s="59"/>
      <c r="AP67" s="250"/>
      <c r="AQ67" s="50"/>
      <c r="AR67" s="55"/>
      <c r="AS67" s="56"/>
      <c r="AT67" s="57"/>
      <c r="AU67" s="56"/>
      <c r="AV67" s="58">
        <v>0.84699999999999998</v>
      </c>
      <c r="AW67" s="59"/>
      <c r="AX67" s="57"/>
      <c r="AY67" s="50"/>
      <c r="AZ67" s="55"/>
      <c r="BA67" s="56"/>
      <c r="BB67" s="57"/>
      <c r="BC67" s="56"/>
      <c r="BD67" s="58">
        <v>0.84599999999999997</v>
      </c>
      <c r="BE67" s="59"/>
      <c r="BF67" s="57"/>
      <c r="BG67" s="50"/>
      <c r="BH67" s="55"/>
      <c r="BI67" s="56"/>
      <c r="BJ67" s="57"/>
      <c r="BK67" s="56"/>
      <c r="BL67" s="58">
        <v>0.84799999999999998</v>
      </c>
      <c r="BM67" s="59"/>
      <c r="BN67" s="60"/>
      <c r="BO67" s="50"/>
      <c r="BP67" s="55"/>
      <c r="BQ67" s="56"/>
      <c r="BR67" s="57"/>
      <c r="BS67" s="56"/>
      <c r="BT67" s="58">
        <v>0.84799999999999998</v>
      </c>
      <c r="BU67" s="59"/>
      <c r="BV67" s="60"/>
      <c r="BW67" s="50"/>
      <c r="BX67" s="55"/>
      <c r="BY67" s="56"/>
      <c r="BZ67" s="57"/>
      <c r="CA67" s="56"/>
      <c r="CB67" s="58">
        <v>0.86699999999999999</v>
      </c>
      <c r="CC67" s="59"/>
      <c r="CD67" s="60"/>
      <c r="CE67" s="50"/>
      <c r="CF67" s="55"/>
      <c r="CG67" s="56"/>
      <c r="CH67" s="57"/>
      <c r="CI67" s="56"/>
      <c r="CJ67" s="58">
        <v>0.876</v>
      </c>
      <c r="CK67" s="59"/>
      <c r="CL67" s="60"/>
      <c r="CM67" s="50"/>
      <c r="CN67" s="55"/>
      <c r="CO67" s="56"/>
      <c r="CP67" s="57"/>
      <c r="CQ67" s="56"/>
      <c r="CR67" s="58">
        <v>0.877</v>
      </c>
      <c r="CS67" s="59"/>
    </row>
    <row r="68" spans="1:97" s="14" customFormat="1" x14ac:dyDescent="0.25">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Y68" s="61"/>
      <c r="AZ68" s="61"/>
      <c r="BA68" s="62"/>
      <c r="BB68" s="62"/>
      <c r="BC68" s="62"/>
      <c r="BD68" s="62"/>
      <c r="BE68" s="62"/>
      <c r="BG68" s="63"/>
      <c r="BH68" s="64"/>
      <c r="BI68" s="64"/>
      <c r="BK68" s="64"/>
      <c r="BL68" s="64"/>
      <c r="BN68" s="65"/>
      <c r="BO68" s="63"/>
      <c r="BP68" s="63"/>
      <c r="BQ68" s="64"/>
      <c r="BR68" s="64"/>
      <c r="BS68" s="64"/>
      <c r="BT68" s="64"/>
      <c r="BU68" s="64"/>
      <c r="BV68" s="65"/>
      <c r="BW68" s="63"/>
      <c r="BX68" s="63"/>
      <c r="BY68" s="64"/>
      <c r="BZ68" s="64"/>
      <c r="CA68" s="64"/>
      <c r="CB68" s="64"/>
      <c r="CC68" s="64"/>
      <c r="CD68" s="65"/>
      <c r="CE68" s="63"/>
      <c r="CF68" s="63"/>
      <c r="CG68" s="64"/>
      <c r="CH68" s="64"/>
      <c r="CI68" s="64"/>
      <c r="CJ68" s="64"/>
      <c r="CK68" s="64"/>
      <c r="CL68" s="65"/>
      <c r="CM68" s="63"/>
      <c r="CN68" s="63"/>
      <c r="CO68" s="64"/>
      <c r="CP68" s="64"/>
      <c r="CQ68" s="64"/>
      <c r="CR68" s="64"/>
      <c r="CS68" s="64"/>
    </row>
    <row r="69" spans="1:97" hidden="1" outlineLevel="1" x14ac:dyDescent="0.25">
      <c r="A69" s="275" t="s">
        <v>37</v>
      </c>
      <c r="B69" s="95"/>
      <c r="C69" s="95"/>
      <c r="D69" s="276">
        <f>D21-D22-D23</f>
        <v>0</v>
      </c>
      <c r="E69" s="276">
        <f t="shared" ref="E69:H69" si="1">E21-E22-E23</f>
        <v>0</v>
      </c>
      <c r="F69" s="276">
        <f t="shared" si="1"/>
        <v>0</v>
      </c>
      <c r="G69" s="276">
        <f t="shared" si="1"/>
        <v>0</v>
      </c>
      <c r="H69" s="276">
        <f t="shared" si="1"/>
        <v>0</v>
      </c>
    </row>
    <row r="70" spans="1:97" hidden="1" outlineLevel="1" x14ac:dyDescent="0.25">
      <c r="A70" s="277" t="s">
        <v>38</v>
      </c>
      <c r="B70" s="95"/>
      <c r="C70" s="95"/>
      <c r="D70" s="276">
        <f>D23-SUM(D24:D27)-D28</f>
        <v>0</v>
      </c>
      <c r="E70" s="276">
        <f t="shared" ref="E70:G70" si="2">E23-SUM(E24:E27)-E28</f>
        <v>0</v>
      </c>
      <c r="F70" s="276">
        <f t="shared" si="2"/>
        <v>0</v>
      </c>
      <c r="G70" s="276">
        <f t="shared" si="2"/>
        <v>0</v>
      </c>
      <c r="H70" s="276">
        <f>H23-SUM(H24:H27)-H28</f>
        <v>0</v>
      </c>
    </row>
    <row r="71" spans="1:97" hidden="1" outlineLevel="1" x14ac:dyDescent="0.25">
      <c r="A71" s="277" t="s">
        <v>24</v>
      </c>
      <c r="B71" s="95"/>
      <c r="C71" s="95"/>
      <c r="D71" s="276">
        <f>D28-SUM(D29:D32)-D33</f>
        <v>0</v>
      </c>
      <c r="E71" s="276">
        <f t="shared" ref="E71:G71" si="3">E28-SUM(E29:E32)-E33</f>
        <v>0</v>
      </c>
      <c r="F71" s="276">
        <f t="shared" si="3"/>
        <v>0</v>
      </c>
      <c r="G71" s="276">
        <f t="shared" si="3"/>
        <v>0</v>
      </c>
      <c r="H71" s="276">
        <f>H28-SUM(H29:H32)-H33</f>
        <v>0</v>
      </c>
    </row>
    <row r="72" spans="1:97" collapsed="1" x14ac:dyDescent="0.25"/>
  </sheetData>
  <mergeCells count="12">
    <mergeCell ref="CM18:CS18"/>
    <mergeCell ref="AY18:BE18"/>
    <mergeCell ref="AQ18:AW18"/>
    <mergeCell ref="BG18:BM18"/>
    <mergeCell ref="BO18:BU18"/>
    <mergeCell ref="BW18:CC18"/>
    <mergeCell ref="CE18:CK18"/>
    <mergeCell ref="K18:Q18"/>
    <mergeCell ref="S18:Y18"/>
    <mergeCell ref="AA18:AG18"/>
    <mergeCell ref="AI18:AO18"/>
    <mergeCell ref="D18:H18"/>
  </mergeCells>
  <pageMargins left="0.7" right="0.7" top="0.75" bottom="0.75" header="0.3" footer="0.3"/>
  <pageSetup scale="21"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pageSetUpPr fitToPage="1"/>
  </sheetPr>
  <dimension ref="A1:AX73"/>
  <sheetViews>
    <sheetView workbookViewId="0"/>
  </sheetViews>
  <sheetFormatPr defaultColWidth="9.140625" defaultRowHeight="15" outlineLevelRow="1" outlineLevelCol="1" x14ac:dyDescent="0.25"/>
  <cols>
    <col min="1" max="1" width="40.140625" style="4" customWidth="1"/>
    <col min="2" max="2" width="16" style="4" customWidth="1"/>
    <col min="3" max="3" width="1.7109375" style="4" customWidth="1"/>
    <col min="4" max="10" width="8.7109375" style="4" customWidth="1"/>
    <col min="11" max="11" width="2.5703125" style="4" customWidth="1"/>
    <col min="12" max="12" width="8.7109375" style="4" customWidth="1"/>
    <col min="13" max="16" width="9.140625" style="4" customWidth="1"/>
    <col min="17" max="17" width="9.5703125" style="4" bestFit="1" customWidth="1"/>
    <col min="18" max="18" width="9.140625" style="4" customWidth="1"/>
    <col min="19" max="19" width="2.5703125" style="4" customWidth="1"/>
    <col min="20" max="24" width="9.140625" style="4" customWidth="1"/>
    <col min="25" max="25" width="9.5703125" style="4" bestFit="1" customWidth="1"/>
    <col min="26" max="26" width="9.140625" style="4" customWidth="1"/>
    <col min="27" max="27" width="2.5703125" style="4" customWidth="1"/>
    <col min="28" max="28" width="9.140625" style="4" customWidth="1"/>
    <col min="29" max="29" width="9" style="4" customWidth="1"/>
    <col min="30" max="30" width="8" style="4" customWidth="1" outlineLevel="1"/>
    <col min="31" max="31" width="9" style="4" customWidth="1"/>
    <col min="32" max="32" width="9.140625" style="4" customWidth="1" outlineLevel="1"/>
    <col min="33" max="33" width="9.5703125" style="4" bestFit="1" customWidth="1"/>
    <col min="34" max="34" width="9.140625" style="4"/>
    <col min="35" max="35" width="2.7109375" style="4" customWidth="1"/>
    <col min="36" max="37" width="9" style="4" customWidth="1"/>
    <col min="38" max="38" width="8" style="4" customWidth="1" outlineLevel="1"/>
    <col min="39" max="39" width="11.5703125" style="4" customWidth="1"/>
    <col min="40" max="40" width="11.5703125" style="4" customWidth="1" outlineLevel="1"/>
    <col min="41" max="41" width="12.28515625" style="4" customWidth="1"/>
    <col min="42" max="42" width="9" style="4" customWidth="1"/>
    <col min="43" max="43" width="3" style="4" customWidth="1"/>
    <col min="44" max="45" width="9" style="67" customWidth="1"/>
    <col min="46" max="46" width="8" style="4" customWidth="1" outlineLevel="1"/>
    <col min="47" max="47" width="9" style="4" customWidth="1"/>
    <col min="48" max="48" width="9" style="4" customWidth="1" outlineLevel="1"/>
    <col min="49" max="50" width="9" style="4" customWidth="1"/>
    <col min="51" max="16384" width="9.140625" style="4"/>
  </cols>
  <sheetData>
    <row r="1" spans="1:50" ht="15" customHeight="1" x14ac:dyDescent="0.25">
      <c r="A1" s="355" t="s">
        <v>72</v>
      </c>
      <c r="B1" s="338">
        <v>251.4</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6"/>
      <c r="AJ1" s="9"/>
      <c r="AK1" s="9"/>
      <c r="AL1" s="10"/>
      <c r="AM1" s="6"/>
      <c r="AN1" s="6"/>
      <c r="AO1" s="6"/>
      <c r="AP1" s="6"/>
      <c r="AQ1" s="6"/>
      <c r="AR1" s="6"/>
      <c r="AS1" s="6"/>
      <c r="AT1" s="6"/>
      <c r="AU1" s="6"/>
      <c r="AV1" s="6"/>
      <c r="AW1" s="6"/>
      <c r="AX1" s="6"/>
    </row>
    <row r="2" spans="1:50" s="14" customFormat="1" ht="15" customHeight="1" x14ac:dyDescent="0.25">
      <c r="A2" s="304" t="s">
        <v>42</v>
      </c>
      <c r="B2" s="418">
        <v>102.8</v>
      </c>
      <c r="C2" s="90"/>
      <c r="D2" s="90"/>
      <c r="E2" s="90"/>
      <c r="F2" s="90"/>
      <c r="G2" s="90"/>
      <c r="H2" s="90"/>
      <c r="I2" s="90"/>
      <c r="J2" s="90"/>
      <c r="K2" s="90"/>
      <c r="L2" s="90"/>
      <c r="M2" s="90"/>
      <c r="N2" s="90"/>
      <c r="O2" s="90"/>
      <c r="P2" s="90"/>
      <c r="Q2" s="90"/>
      <c r="R2" s="90"/>
      <c r="S2" s="90"/>
      <c r="T2" s="90"/>
      <c r="U2" s="90"/>
      <c r="V2" s="90"/>
      <c r="W2" s="90"/>
      <c r="X2" s="90"/>
      <c r="Y2" s="90"/>
      <c r="Z2" s="90"/>
      <c r="AA2" s="90"/>
      <c r="AB2" s="11"/>
      <c r="AC2" s="11"/>
      <c r="AD2" s="11"/>
      <c r="AE2" s="11"/>
      <c r="AF2" s="11"/>
      <c r="AG2" s="11"/>
      <c r="AH2" s="11"/>
      <c r="AI2" s="12"/>
      <c r="AJ2" s="11"/>
      <c r="AK2" s="11"/>
      <c r="AL2" s="10"/>
      <c r="AM2" s="10"/>
      <c r="AN2" s="10"/>
      <c r="AO2" s="10"/>
      <c r="AP2" s="10"/>
      <c r="AQ2" s="12"/>
      <c r="AR2" s="10"/>
      <c r="AS2" s="10"/>
      <c r="AT2" s="10"/>
      <c r="AU2" s="10"/>
      <c r="AV2" s="10"/>
      <c r="AW2" s="10"/>
      <c r="AX2" s="10"/>
    </row>
    <row r="3" spans="1:50" s="14" customFormat="1" ht="15" customHeight="1" x14ac:dyDescent="0.25">
      <c r="A3" s="302" t="s">
        <v>43</v>
      </c>
      <c r="B3" s="418">
        <v>2.2999999999999998</v>
      </c>
      <c r="C3" s="90"/>
      <c r="D3" s="90"/>
      <c r="E3" s="90"/>
      <c r="F3" s="90"/>
      <c r="G3" s="90"/>
      <c r="H3" s="90"/>
      <c r="I3" s="90"/>
      <c r="J3" s="90"/>
      <c r="K3" s="90"/>
      <c r="L3" s="90"/>
      <c r="M3" s="90"/>
      <c r="N3" s="90"/>
      <c r="O3" s="90"/>
      <c r="P3" s="90"/>
      <c r="Q3" s="90"/>
      <c r="R3" s="90"/>
      <c r="S3" s="90"/>
      <c r="T3" s="90"/>
      <c r="U3" s="90"/>
      <c r="V3" s="90"/>
      <c r="W3" s="90"/>
      <c r="X3" s="90"/>
      <c r="Y3" s="90"/>
      <c r="Z3" s="90"/>
      <c r="AA3" s="90"/>
      <c r="AB3" s="11"/>
      <c r="AC3" s="11"/>
      <c r="AD3" s="11"/>
      <c r="AE3" s="11"/>
      <c r="AF3" s="11"/>
      <c r="AG3" s="11"/>
      <c r="AH3" s="11"/>
      <c r="AI3" s="12"/>
      <c r="AJ3" s="11"/>
      <c r="AK3" s="11"/>
      <c r="AL3" s="10"/>
      <c r="AM3" s="10"/>
      <c r="AN3" s="10"/>
      <c r="AO3" s="10"/>
      <c r="AP3" s="10"/>
      <c r="AQ3" s="12"/>
      <c r="AR3" s="10"/>
      <c r="AS3" s="10"/>
      <c r="AT3" s="10"/>
      <c r="AU3" s="10"/>
      <c r="AV3" s="10"/>
      <c r="AW3"/>
      <c r="AX3" s="10"/>
    </row>
    <row r="4" spans="1:50" s="14" customFormat="1" x14ac:dyDescent="0.25">
      <c r="A4" s="304" t="s">
        <v>44</v>
      </c>
      <c r="B4" s="418">
        <v>146.30000000000001</v>
      </c>
      <c r="C4" s="90"/>
      <c r="D4" s="90"/>
      <c r="E4" s="90"/>
      <c r="F4" s="90"/>
      <c r="G4" s="90"/>
      <c r="H4" s="90"/>
      <c r="I4" s="90"/>
      <c r="J4" s="90"/>
      <c r="K4" s="90"/>
      <c r="L4" s="90"/>
      <c r="M4" s="90"/>
      <c r="N4" s="90"/>
      <c r="O4" s="90"/>
      <c r="P4" s="90"/>
      <c r="Q4" s="90"/>
      <c r="R4" s="90"/>
      <c r="S4" s="90"/>
      <c r="T4" s="90"/>
      <c r="U4" s="90"/>
      <c r="V4" s="90"/>
      <c r="W4" s="90"/>
      <c r="X4" s="90"/>
      <c r="Y4" s="90"/>
      <c r="Z4" s="90"/>
      <c r="AA4" s="90"/>
      <c r="AB4" s="11"/>
      <c r="AC4" s="11"/>
      <c r="AD4" s="11"/>
      <c r="AE4" s="11"/>
      <c r="AF4" s="11"/>
      <c r="AG4" s="11"/>
      <c r="AH4" s="11"/>
      <c r="AI4" s="12"/>
      <c r="AJ4" s="11"/>
      <c r="AK4" s="11"/>
      <c r="AL4" s="10"/>
      <c r="AM4" s="10"/>
      <c r="AN4" s="10"/>
      <c r="AO4" s="10"/>
      <c r="AP4" s="10"/>
      <c r="AQ4" s="12"/>
      <c r="AR4" s="10"/>
      <c r="AS4" s="10"/>
      <c r="AT4" s="10"/>
      <c r="AU4" s="10"/>
      <c r="AV4" s="10"/>
      <c r="AW4" s="10"/>
      <c r="AX4" s="10"/>
    </row>
    <row r="5" spans="1:50" s="14" customFormat="1" ht="15" customHeight="1" x14ac:dyDescent="0.25">
      <c r="A5" s="419"/>
      <c r="B5" s="418"/>
      <c r="C5" s="90"/>
      <c r="D5" s="90"/>
      <c r="E5" s="90"/>
      <c r="F5" s="90"/>
      <c r="G5" s="90"/>
      <c r="H5" s="90"/>
      <c r="I5" s="90"/>
      <c r="J5" s="90"/>
      <c r="K5" s="90"/>
      <c r="L5" s="90"/>
      <c r="M5" s="90"/>
      <c r="N5" s="90"/>
      <c r="O5" s="90"/>
      <c r="P5" s="90"/>
      <c r="Q5" s="90"/>
      <c r="R5" s="90"/>
      <c r="S5" s="90"/>
      <c r="T5" s="90"/>
      <c r="U5" s="90"/>
      <c r="V5" s="90"/>
      <c r="W5" s="90"/>
      <c r="X5" s="90"/>
      <c r="Y5" s="90"/>
      <c r="Z5" s="90"/>
      <c r="AA5" s="90"/>
      <c r="AB5" s="9"/>
      <c r="AC5" s="9"/>
      <c r="AD5" s="9"/>
      <c r="AE5" s="9"/>
      <c r="AF5" s="9"/>
      <c r="AG5" s="9"/>
      <c r="AH5" s="9"/>
      <c r="AI5" s="12"/>
      <c r="AJ5" s="9"/>
      <c r="AK5" s="9"/>
      <c r="AL5" s="10"/>
      <c r="AM5" s="10"/>
      <c r="AN5" s="10"/>
      <c r="AO5" s="10"/>
      <c r="AP5" s="10"/>
      <c r="AQ5" s="12"/>
      <c r="AR5" s="10"/>
      <c r="AS5" s="10"/>
      <c r="AT5" s="10"/>
      <c r="AU5" s="10"/>
      <c r="AV5" s="10"/>
      <c r="AW5" s="10"/>
      <c r="AX5" s="10"/>
    </row>
    <row r="6" spans="1:50" s="14" customFormat="1" ht="15" customHeight="1" x14ac:dyDescent="0.25">
      <c r="A6" s="304" t="s">
        <v>73</v>
      </c>
      <c r="B6" s="418">
        <v>16.600000000000001</v>
      </c>
      <c r="C6" s="90"/>
      <c r="D6" s="90"/>
      <c r="E6" s="90"/>
      <c r="F6" s="90"/>
      <c r="G6" s="90"/>
      <c r="H6" s="90"/>
      <c r="I6" s="90"/>
      <c r="J6" s="90"/>
      <c r="K6" s="90"/>
      <c r="L6" s="90"/>
      <c r="M6" s="90"/>
      <c r="N6" s="90"/>
      <c r="O6" s="90"/>
      <c r="P6" s="90"/>
      <c r="Q6" s="90"/>
      <c r="R6" s="90"/>
      <c r="S6" s="90"/>
      <c r="T6" s="90"/>
      <c r="U6" s="90"/>
      <c r="V6" s="90"/>
      <c r="W6" s="90"/>
      <c r="X6" s="90"/>
      <c r="Y6" s="90"/>
      <c r="Z6" s="90"/>
      <c r="AA6" s="90"/>
      <c r="AB6" s="11"/>
      <c r="AC6" s="11"/>
      <c r="AD6" s="11"/>
      <c r="AE6" s="11"/>
      <c r="AF6" s="11"/>
      <c r="AG6" s="11"/>
      <c r="AH6" s="11"/>
      <c r="AI6" s="12"/>
      <c r="AJ6" s="11"/>
      <c r="AK6" s="11"/>
      <c r="AL6" s="10"/>
      <c r="AM6" s="10"/>
      <c r="AN6" s="10"/>
      <c r="AO6" s="19"/>
      <c r="AP6" s="10"/>
      <c r="AQ6" s="12"/>
      <c r="AR6" s="10"/>
      <c r="AS6" s="10"/>
      <c r="AT6" s="10"/>
      <c r="AU6" s="10"/>
      <c r="AV6" s="10"/>
      <c r="AW6" s="10"/>
      <c r="AX6" s="10"/>
    </row>
    <row r="7" spans="1:50" s="14" customFormat="1" ht="15" customHeight="1" x14ac:dyDescent="0.25">
      <c r="A7" s="304" t="s">
        <v>74</v>
      </c>
      <c r="B7" s="418">
        <v>13.3</v>
      </c>
      <c r="C7" s="90"/>
      <c r="D7" s="90"/>
      <c r="E7" s="90"/>
      <c r="F7" s="90"/>
      <c r="G7" s="90"/>
      <c r="H7" s="90"/>
      <c r="I7" s="90"/>
      <c r="J7" s="90"/>
      <c r="K7" s="90"/>
      <c r="L7" s="90"/>
      <c r="M7" s="90"/>
      <c r="N7" s="90"/>
      <c r="O7" s="90"/>
      <c r="P7" s="90"/>
      <c r="Q7" s="90"/>
      <c r="R7" s="90"/>
      <c r="S7" s="90"/>
      <c r="T7" s="90"/>
      <c r="U7" s="90"/>
      <c r="V7" s="90"/>
      <c r="W7" s="90"/>
      <c r="X7" s="90"/>
      <c r="Y7" s="90"/>
      <c r="Z7" s="90"/>
      <c r="AA7" s="90"/>
      <c r="AB7" s="11"/>
      <c r="AC7" s="11"/>
      <c r="AD7" s="11"/>
      <c r="AE7" s="11"/>
      <c r="AF7" s="11"/>
      <c r="AG7" s="11"/>
      <c r="AH7" s="11"/>
      <c r="AI7" s="12"/>
      <c r="AJ7" s="11"/>
      <c r="AK7" s="11"/>
      <c r="AL7" s="10"/>
      <c r="AM7" s="10"/>
      <c r="AN7" s="10"/>
      <c r="AO7" s="10"/>
      <c r="AP7" s="10"/>
      <c r="AQ7" s="12"/>
      <c r="AR7" s="10"/>
      <c r="AS7"/>
      <c r="AT7" s="10"/>
      <c r="AU7" s="10"/>
      <c r="AV7" s="10"/>
      <c r="AW7" s="10"/>
      <c r="AX7" s="10"/>
    </row>
    <row r="8" spans="1:50" s="14" customFormat="1" x14ac:dyDescent="0.25">
      <c r="A8" s="304" t="s">
        <v>75</v>
      </c>
      <c r="B8" s="418">
        <v>20.2</v>
      </c>
      <c r="C8" s="90"/>
      <c r="D8" s="90"/>
      <c r="E8" s="90"/>
      <c r="F8" s="90"/>
      <c r="G8" s="90"/>
      <c r="H8" s="90"/>
      <c r="I8" s="90"/>
      <c r="J8" s="90"/>
      <c r="K8" s="90"/>
      <c r="L8" s="90"/>
      <c r="M8" s="90"/>
      <c r="N8" s="90"/>
      <c r="O8" s="90"/>
      <c r="P8" s="90"/>
      <c r="Q8" s="90"/>
      <c r="R8" s="90"/>
      <c r="S8" s="90"/>
      <c r="T8" s="90"/>
      <c r="U8" s="90"/>
      <c r="V8" s="90"/>
      <c r="W8" s="90"/>
      <c r="X8" s="90"/>
      <c r="Y8" s="90"/>
      <c r="Z8" s="90"/>
      <c r="AA8" s="90"/>
      <c r="AB8" s="11"/>
      <c r="AC8" s="11"/>
      <c r="AD8" s="11"/>
      <c r="AE8" s="11"/>
      <c r="AF8" s="11"/>
      <c r="AG8" s="11"/>
      <c r="AH8" s="11"/>
      <c r="AI8" s="12"/>
      <c r="AJ8" s="11"/>
      <c r="AK8" s="11"/>
      <c r="AL8" s="20"/>
      <c r="AM8" s="10"/>
      <c r="AN8" s="10"/>
      <c r="AO8" s="10"/>
      <c r="AP8" s="10"/>
      <c r="AQ8" s="12"/>
      <c r="AR8" s="10"/>
      <c r="AS8" s="10"/>
      <c r="AT8" s="10"/>
      <c r="AU8" s="10"/>
      <c r="AV8" s="10"/>
      <c r="AW8" s="10"/>
      <c r="AX8" s="10"/>
    </row>
    <row r="9" spans="1:50" s="14" customFormat="1" x14ac:dyDescent="0.25">
      <c r="A9" s="304" t="s">
        <v>148</v>
      </c>
      <c r="B9" s="418">
        <v>6.7</v>
      </c>
      <c r="C9" s="90"/>
      <c r="D9" s="90"/>
      <c r="E9" s="90"/>
      <c r="F9" s="90"/>
      <c r="G9" s="90"/>
      <c r="H9" s="90"/>
      <c r="I9" s="90"/>
      <c r="J9" s="90"/>
      <c r="K9" s="90"/>
      <c r="L9" s="90"/>
      <c r="M9" s="90"/>
      <c r="N9" s="90"/>
      <c r="O9" s="90"/>
      <c r="P9" s="90"/>
      <c r="Q9" s="90"/>
      <c r="R9" s="90"/>
      <c r="S9" s="90"/>
      <c r="T9" s="90"/>
      <c r="U9" s="90"/>
      <c r="V9" s="90"/>
      <c r="W9" s="90"/>
      <c r="X9" s="90"/>
      <c r="Y9" s="90"/>
      <c r="Z9" s="90"/>
      <c r="AA9" s="90"/>
      <c r="AB9" s="11"/>
      <c r="AC9" s="11"/>
      <c r="AD9" s="11"/>
      <c r="AE9" s="11"/>
      <c r="AF9" s="11"/>
      <c r="AG9" s="11"/>
      <c r="AH9" s="11"/>
      <c r="AI9" s="12"/>
      <c r="AJ9" s="11"/>
      <c r="AK9" s="11"/>
      <c r="AL9" s="20"/>
      <c r="AM9" s="10"/>
      <c r="AN9" s="10"/>
      <c r="AO9" s="10"/>
      <c r="AP9" s="10"/>
      <c r="AQ9" s="12"/>
      <c r="AR9" s="10"/>
      <c r="AS9" s="10"/>
      <c r="AT9" s="10"/>
      <c r="AU9" s="10"/>
      <c r="AV9" s="10"/>
      <c r="AW9" s="10"/>
      <c r="AX9" s="10"/>
    </row>
    <row r="10" spans="1:50" s="14" customFormat="1" x14ac:dyDescent="0.25">
      <c r="A10" s="304" t="s">
        <v>184</v>
      </c>
      <c r="B10" s="418">
        <v>30.9</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11"/>
      <c r="AC10" s="11"/>
      <c r="AD10" s="11"/>
      <c r="AE10" s="11"/>
      <c r="AF10" s="11"/>
      <c r="AG10" s="11"/>
      <c r="AH10" s="11"/>
      <c r="AI10" s="12"/>
      <c r="AJ10" s="11"/>
      <c r="AK10" s="11"/>
      <c r="AL10" s="20"/>
      <c r="AM10" s="10"/>
      <c r="AN10" s="10"/>
      <c r="AO10" s="10"/>
      <c r="AP10" s="10"/>
      <c r="AQ10" s="12"/>
      <c r="AR10" s="10"/>
      <c r="AS10" s="10"/>
      <c r="AT10" s="10"/>
      <c r="AU10" s="10"/>
      <c r="AV10" s="10"/>
      <c r="AW10" s="10"/>
      <c r="AX10" s="10"/>
    </row>
    <row r="11" spans="1:50" s="14" customFormat="1" x14ac:dyDescent="0.25">
      <c r="A11" s="304" t="s">
        <v>184</v>
      </c>
      <c r="B11" s="418">
        <v>2.6</v>
      </c>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11"/>
      <c r="AC11" s="11"/>
      <c r="AD11" s="11"/>
      <c r="AE11" s="11"/>
      <c r="AF11" s="11"/>
      <c r="AG11" s="11"/>
      <c r="AH11" s="11"/>
      <c r="AI11" s="12"/>
      <c r="AJ11" s="11"/>
      <c r="AK11" s="11"/>
      <c r="AL11" s="20"/>
      <c r="AM11" s="10"/>
      <c r="AN11" s="10"/>
      <c r="AO11" s="10"/>
      <c r="AP11" s="10"/>
      <c r="AQ11" s="12"/>
      <c r="AR11" s="10"/>
      <c r="AS11" s="10"/>
      <c r="AT11" s="10"/>
      <c r="AU11" s="10"/>
      <c r="AV11" s="10"/>
      <c r="AW11" s="10"/>
      <c r="AX11" s="10"/>
    </row>
    <row r="12" spans="1:50" s="14" customFormat="1" x14ac:dyDescent="0.25">
      <c r="A12" s="304" t="s">
        <v>185</v>
      </c>
      <c r="B12" s="418">
        <v>17.600000000000001</v>
      </c>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11"/>
      <c r="AC12" s="11"/>
      <c r="AD12" s="11"/>
      <c r="AE12" s="11"/>
      <c r="AF12" s="11"/>
      <c r="AG12" s="11"/>
      <c r="AH12" s="11"/>
      <c r="AI12" s="12"/>
      <c r="AJ12" s="11"/>
      <c r="AK12" s="11"/>
      <c r="AL12" s="20"/>
      <c r="AM12" s="10"/>
      <c r="AN12" s="10"/>
      <c r="AO12" s="10"/>
      <c r="AP12" s="10"/>
      <c r="AQ12" s="12"/>
      <c r="AR12" s="10"/>
      <c r="AS12" s="10"/>
      <c r="AT12" s="10"/>
      <c r="AU12" s="10"/>
      <c r="AV12" s="10"/>
      <c r="AW12" s="10"/>
      <c r="AX12" s="10"/>
    </row>
    <row r="13" spans="1:50" s="14" customFormat="1" x14ac:dyDescent="0.25">
      <c r="A13" s="304"/>
      <c r="B13" s="418"/>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11"/>
      <c r="AC13" s="11"/>
      <c r="AD13" s="11"/>
      <c r="AE13" s="11"/>
      <c r="AF13" s="11"/>
      <c r="AG13" s="11"/>
      <c r="AH13" s="11"/>
      <c r="AI13" s="12"/>
      <c r="AJ13" s="11"/>
      <c r="AK13" s="11"/>
      <c r="AL13" s="20"/>
      <c r="AM13" s="10"/>
      <c r="AN13" s="10"/>
      <c r="AO13" s="10"/>
      <c r="AP13" s="10"/>
      <c r="AQ13" s="12"/>
      <c r="AR13" s="10"/>
      <c r="AS13" s="10"/>
      <c r="AT13" s="10"/>
      <c r="AU13" s="10"/>
      <c r="AV13" s="10"/>
      <c r="AW13" s="10"/>
      <c r="AX13" s="10"/>
    </row>
    <row r="14" spans="1:50" s="14" customFormat="1" x14ac:dyDescent="0.25">
      <c r="A14" s="5" t="s">
        <v>168</v>
      </c>
      <c r="B14" s="207">
        <v>551.9</v>
      </c>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11"/>
      <c r="AC14" s="11"/>
      <c r="AD14" s="11"/>
      <c r="AE14" s="11"/>
      <c r="AF14" s="11"/>
      <c r="AG14" s="11"/>
      <c r="AH14" s="11"/>
      <c r="AI14" s="12"/>
      <c r="AJ14" s="11"/>
      <c r="AK14" s="11"/>
      <c r="AL14" s="20"/>
      <c r="AM14" s="10"/>
      <c r="AN14" s="10"/>
      <c r="AO14" s="10"/>
      <c r="AP14" s="10"/>
      <c r="AQ14" s="12"/>
      <c r="AR14" s="10"/>
      <c r="AS14" s="10"/>
      <c r="AT14" s="10"/>
      <c r="AU14" s="10"/>
      <c r="AV14" s="10"/>
      <c r="AW14" s="10"/>
      <c r="AX14" s="10"/>
    </row>
    <row r="15" spans="1:50" s="14" customFormat="1" x14ac:dyDescent="0.25">
      <c r="A15" s="5" t="s">
        <v>119</v>
      </c>
      <c r="B15" s="206">
        <v>224.6</v>
      </c>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11"/>
      <c r="AC15" s="11"/>
      <c r="AD15" s="11"/>
      <c r="AE15" s="11"/>
      <c r="AF15" s="11"/>
      <c r="AG15" s="11"/>
      <c r="AH15" s="11"/>
      <c r="AI15" s="12"/>
      <c r="AJ15" s="11"/>
      <c r="AK15" s="11"/>
      <c r="AL15" s="20"/>
      <c r="AM15" s="10"/>
      <c r="AN15" s="10"/>
      <c r="AO15" s="10"/>
      <c r="AP15" s="10"/>
      <c r="AQ15" s="12"/>
      <c r="AR15" s="10"/>
      <c r="AS15" s="10"/>
      <c r="AT15" s="10"/>
      <c r="AU15" s="10"/>
      <c r="AV15" s="10"/>
      <c r="AW15" s="10"/>
      <c r="AX15" s="10"/>
    </row>
    <row r="16" spans="1:50" s="14" customFormat="1" x14ac:dyDescent="0.25">
      <c r="A16" s="5" t="s">
        <v>120</v>
      </c>
      <c r="B16" s="206">
        <v>327.3</v>
      </c>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11"/>
      <c r="AC16" s="11"/>
      <c r="AD16" s="11"/>
      <c r="AE16" s="11"/>
      <c r="AF16" s="11"/>
      <c r="AG16" s="11"/>
      <c r="AH16" s="11"/>
      <c r="AI16" s="12"/>
      <c r="AJ16" s="11"/>
      <c r="AK16" s="11"/>
      <c r="AL16" s="20"/>
      <c r="AM16" s="10"/>
      <c r="AN16" s="10"/>
      <c r="AO16" s="10"/>
      <c r="AP16" s="10"/>
      <c r="AQ16" s="12"/>
      <c r="AR16" s="10"/>
      <c r="AS16" s="10"/>
      <c r="AT16" s="10"/>
      <c r="AU16" s="10"/>
      <c r="AV16" s="10"/>
      <c r="AW16" s="10"/>
      <c r="AX16" s="10"/>
    </row>
    <row r="17" spans="1:50" s="14" customFormat="1" x14ac:dyDescent="0.25">
      <c r="A17" s="5"/>
      <c r="B17" s="206"/>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11"/>
      <c r="AC17" s="11"/>
      <c r="AD17" s="11"/>
      <c r="AE17" s="11"/>
      <c r="AF17" s="11"/>
      <c r="AG17" s="11"/>
      <c r="AH17" s="11"/>
      <c r="AI17" s="12"/>
      <c r="AJ17" s="11"/>
      <c r="AK17" s="11"/>
      <c r="AL17" s="20"/>
      <c r="AM17" s="10"/>
      <c r="AN17" s="10"/>
      <c r="AO17" s="10"/>
      <c r="AP17" s="10"/>
      <c r="AQ17" s="12"/>
      <c r="AR17" s="10"/>
      <c r="AS17" s="10"/>
      <c r="AT17" s="10"/>
      <c r="AU17" s="10"/>
      <c r="AV17" s="10"/>
      <c r="AW17" s="10"/>
      <c r="AX17" s="10"/>
    </row>
    <row r="18" spans="1:50" s="14" customFormat="1" ht="15.75" thickBot="1" x14ac:dyDescent="0.3">
      <c r="A18" s="15" t="s">
        <v>116</v>
      </c>
      <c r="B18" s="208">
        <v>209.3</v>
      </c>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11"/>
      <c r="AC18" s="11"/>
      <c r="AD18" s="11"/>
      <c r="AE18" s="11"/>
      <c r="AF18" s="11"/>
      <c r="AG18" s="11"/>
      <c r="AH18" s="11"/>
      <c r="AI18" s="12"/>
      <c r="AJ18" s="11"/>
      <c r="AK18" s="11"/>
      <c r="AL18" s="20"/>
      <c r="AM18" s="10"/>
      <c r="AN18" s="10"/>
      <c r="AO18" s="10"/>
      <c r="AP18" s="10"/>
      <c r="AQ18" s="12"/>
      <c r="AR18" s="10"/>
      <c r="AS18" s="10"/>
      <c r="AT18" s="10"/>
      <c r="AU18" s="10"/>
      <c r="AV18" s="10"/>
      <c r="AW18" s="10"/>
      <c r="AX18" s="10"/>
    </row>
    <row r="19" spans="1:50" s="14" customFormat="1" x14ac:dyDescent="0.25">
      <c r="A19" s="274"/>
      <c r="B19" s="421"/>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11"/>
      <c r="AC19" s="11"/>
      <c r="AD19" s="11"/>
      <c r="AE19" s="11"/>
      <c r="AF19" s="11"/>
      <c r="AG19" s="11"/>
      <c r="AH19" s="11"/>
      <c r="AI19" s="12"/>
      <c r="AJ19" s="11"/>
      <c r="AK19" s="11"/>
      <c r="AL19" s="20"/>
      <c r="AM19" s="10"/>
      <c r="AN19" s="10"/>
      <c r="AO19" s="10"/>
      <c r="AP19" s="10"/>
      <c r="AQ19" s="12"/>
      <c r="AR19" s="10"/>
      <c r="AS19" s="10"/>
      <c r="AT19" s="10"/>
      <c r="AU19" s="10"/>
      <c r="AV19" s="10"/>
      <c r="AW19" s="10"/>
      <c r="AX19" s="10"/>
    </row>
    <row r="20" spans="1:50" ht="15.75" thickBot="1" x14ac:dyDescent="0.3">
      <c r="A20" s="5"/>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22"/>
      <c r="AK20" s="22"/>
      <c r="AL20" s="22"/>
      <c r="AM20" s="22"/>
      <c r="AN20" s="22"/>
      <c r="AO20" s="22"/>
      <c r="AP20" s="22"/>
      <c r="AQ20" s="6"/>
      <c r="AR20" s="22"/>
      <c r="AS20" s="22"/>
      <c r="AT20" s="22"/>
      <c r="AU20" s="22"/>
      <c r="AV20" s="22"/>
      <c r="AW20" s="22"/>
      <c r="AX20" s="22"/>
    </row>
    <row r="21" spans="1:50" ht="15.75" thickBot="1" x14ac:dyDescent="0.3">
      <c r="A21" s="6"/>
      <c r="B21" s="6"/>
      <c r="C21" s="6"/>
      <c r="D21" s="832">
        <v>2019</v>
      </c>
      <c r="E21" s="833"/>
      <c r="F21" s="833"/>
      <c r="G21" s="833"/>
      <c r="H21" s="833"/>
      <c r="I21" s="833"/>
      <c r="J21" s="834"/>
      <c r="K21" s="6"/>
      <c r="L21" s="810">
        <v>2018</v>
      </c>
      <c r="M21" s="811"/>
      <c r="N21" s="811"/>
      <c r="O21" s="811"/>
      <c r="P21" s="811"/>
      <c r="Q21" s="811"/>
      <c r="R21" s="812"/>
      <c r="S21" s="6"/>
      <c r="T21" s="810">
        <v>2017</v>
      </c>
      <c r="U21" s="811"/>
      <c r="V21" s="811"/>
      <c r="W21" s="811"/>
      <c r="X21" s="811"/>
      <c r="Y21" s="811"/>
      <c r="Z21" s="812"/>
      <c r="AA21" s="6"/>
      <c r="AB21" s="810">
        <v>2016</v>
      </c>
      <c r="AC21" s="811"/>
      <c r="AD21" s="811"/>
      <c r="AE21" s="811"/>
      <c r="AF21" s="811"/>
      <c r="AG21" s="811"/>
      <c r="AH21" s="812"/>
      <c r="AI21" s="6"/>
      <c r="AJ21" s="810">
        <v>2015</v>
      </c>
      <c r="AK21" s="811"/>
      <c r="AL21" s="811"/>
      <c r="AM21" s="811"/>
      <c r="AN21" s="811"/>
      <c r="AO21" s="811"/>
      <c r="AP21" s="812"/>
      <c r="AQ21" s="6"/>
      <c r="AR21" s="810">
        <v>2014</v>
      </c>
      <c r="AS21" s="811"/>
      <c r="AT21" s="811"/>
      <c r="AU21" s="811"/>
      <c r="AV21" s="811"/>
      <c r="AW21" s="811"/>
      <c r="AX21" s="812"/>
    </row>
    <row r="22" spans="1:50" x14ac:dyDescent="0.25">
      <c r="A22" s="6"/>
      <c r="B22" s="6"/>
      <c r="C22" s="6"/>
      <c r="D22" s="76" t="s">
        <v>3</v>
      </c>
      <c r="E22" s="10" t="s">
        <v>4</v>
      </c>
      <c r="F22" s="10" t="s">
        <v>5</v>
      </c>
      <c r="G22" s="10" t="s">
        <v>6</v>
      </c>
      <c r="H22" s="10" t="s">
        <v>7</v>
      </c>
      <c r="I22" s="10" t="s">
        <v>8</v>
      </c>
      <c r="J22" s="13" t="s">
        <v>9</v>
      </c>
      <c r="K22" s="6"/>
      <c r="L22" s="76" t="s">
        <v>3</v>
      </c>
      <c r="M22" s="10" t="s">
        <v>4</v>
      </c>
      <c r="N22" s="10" t="s">
        <v>5</v>
      </c>
      <c r="O22" s="10" t="s">
        <v>6</v>
      </c>
      <c r="P22" s="10" t="s">
        <v>7</v>
      </c>
      <c r="Q22" s="10" t="s">
        <v>8</v>
      </c>
      <c r="R22" s="13" t="s">
        <v>9</v>
      </c>
      <c r="S22" s="6"/>
      <c r="T22" s="76" t="s">
        <v>3</v>
      </c>
      <c r="U22" s="10" t="s">
        <v>4</v>
      </c>
      <c r="V22" s="10" t="s">
        <v>5</v>
      </c>
      <c r="W22" s="10" t="s">
        <v>6</v>
      </c>
      <c r="X22" s="10" t="s">
        <v>7</v>
      </c>
      <c r="Y22" s="10" t="s">
        <v>8</v>
      </c>
      <c r="Z22" s="13" t="s">
        <v>9</v>
      </c>
      <c r="AA22" s="6"/>
      <c r="AB22" s="76" t="s">
        <v>3</v>
      </c>
      <c r="AC22" s="10" t="s">
        <v>4</v>
      </c>
      <c r="AD22" s="10" t="s">
        <v>5</v>
      </c>
      <c r="AE22" s="10" t="s">
        <v>6</v>
      </c>
      <c r="AF22" s="10" t="s">
        <v>7</v>
      </c>
      <c r="AG22" s="10" t="s">
        <v>8</v>
      </c>
      <c r="AH22" s="13" t="s">
        <v>9</v>
      </c>
      <c r="AI22" s="6"/>
      <c r="AJ22" s="76" t="s">
        <v>3</v>
      </c>
      <c r="AK22" s="10" t="s">
        <v>4</v>
      </c>
      <c r="AL22" s="10" t="s">
        <v>5</v>
      </c>
      <c r="AM22" s="10" t="s">
        <v>6</v>
      </c>
      <c r="AN22" s="10" t="s">
        <v>7</v>
      </c>
      <c r="AO22" s="10" t="s">
        <v>8</v>
      </c>
      <c r="AP22" s="13" t="s">
        <v>9</v>
      </c>
      <c r="AQ22" s="6"/>
      <c r="AR22" s="76" t="s">
        <v>3</v>
      </c>
      <c r="AS22" s="10" t="s">
        <v>4</v>
      </c>
      <c r="AT22" s="10" t="s">
        <v>5</v>
      </c>
      <c r="AU22" s="10" t="s">
        <v>6</v>
      </c>
      <c r="AV22" s="10" t="s">
        <v>7</v>
      </c>
      <c r="AW22" s="10" t="s">
        <v>8</v>
      </c>
      <c r="AX22" s="13" t="s">
        <v>9</v>
      </c>
    </row>
    <row r="23" spans="1:50" x14ac:dyDescent="0.25">
      <c r="A23" s="6"/>
      <c r="B23" s="6"/>
      <c r="C23" s="6"/>
      <c r="D23" s="24"/>
      <c r="E23" s="405"/>
      <c r="F23" s="405"/>
      <c r="G23" s="405"/>
      <c r="H23" s="405"/>
      <c r="I23" s="405"/>
      <c r="J23" s="23"/>
      <c r="K23" s="6"/>
      <c r="L23" s="24"/>
      <c r="M23" s="22"/>
      <c r="N23" s="22"/>
      <c r="O23" s="22"/>
      <c r="P23" s="22"/>
      <c r="Q23" s="22"/>
      <c r="R23" s="23"/>
      <c r="S23" s="6"/>
      <c r="T23" s="24"/>
      <c r="U23" s="22"/>
      <c r="V23" s="22"/>
      <c r="W23" s="22"/>
      <c r="X23" s="22"/>
      <c r="Y23" s="22"/>
      <c r="Z23" s="23"/>
      <c r="AA23" s="6"/>
      <c r="AB23" s="24"/>
      <c r="AC23" s="22"/>
      <c r="AD23" s="22"/>
      <c r="AE23" s="22"/>
      <c r="AF23" s="22"/>
      <c r="AG23" s="22"/>
      <c r="AH23" s="23"/>
      <c r="AI23" s="6"/>
      <c r="AJ23" s="24"/>
      <c r="AK23" s="22"/>
      <c r="AL23" s="22"/>
      <c r="AM23" s="22"/>
      <c r="AN23" s="22"/>
      <c r="AO23" s="22"/>
      <c r="AP23" s="23"/>
      <c r="AQ23" s="6"/>
      <c r="AR23" s="24"/>
      <c r="AS23" s="22"/>
      <c r="AT23" s="22"/>
      <c r="AU23" s="22"/>
      <c r="AV23" s="22"/>
      <c r="AW23" s="22"/>
      <c r="AX23" s="23"/>
    </row>
    <row r="24" spans="1:50" s="14" customFormat="1" x14ac:dyDescent="0.25">
      <c r="A24" s="12" t="s">
        <v>10</v>
      </c>
      <c r="B24" s="12"/>
      <c r="C24" s="12"/>
      <c r="D24" s="25">
        <v>63632</v>
      </c>
      <c r="E24" s="406">
        <f>F24-D24</f>
        <v>69105</v>
      </c>
      <c r="F24" s="406">
        <v>132737</v>
      </c>
      <c r="G24" s="406">
        <f>H24-F24</f>
        <v>0</v>
      </c>
      <c r="H24" s="406">
        <v>132737</v>
      </c>
      <c r="I24" s="406">
        <f>J24-H24</f>
        <v>0</v>
      </c>
      <c r="J24" s="21">
        <v>132737</v>
      </c>
      <c r="K24" s="12"/>
      <c r="L24" s="25">
        <v>58221</v>
      </c>
      <c r="M24" s="20">
        <f>N24-L24</f>
        <v>70241</v>
      </c>
      <c r="N24" s="20">
        <v>128462</v>
      </c>
      <c r="O24" s="20">
        <f>P24-N24</f>
        <v>71117</v>
      </c>
      <c r="P24" s="20">
        <v>199579</v>
      </c>
      <c r="Q24" s="20">
        <f>R24-P24</f>
        <v>67337</v>
      </c>
      <c r="R24" s="21">
        <v>266916</v>
      </c>
      <c r="S24" s="12"/>
      <c r="T24" s="25">
        <v>47276</v>
      </c>
      <c r="U24" s="20">
        <f t="shared" ref="U24:U36" si="0">V24-T24</f>
        <v>50418</v>
      </c>
      <c r="V24" s="20">
        <v>97694</v>
      </c>
      <c r="W24" s="20">
        <f>X24-V24</f>
        <v>55676</v>
      </c>
      <c r="X24" s="20">
        <v>153370</v>
      </c>
      <c r="Y24" s="20">
        <f>Z24-X24</f>
        <v>57877</v>
      </c>
      <c r="Z24" s="21">
        <v>211247</v>
      </c>
      <c r="AA24" s="12"/>
      <c r="AB24" s="25">
        <v>38286</v>
      </c>
      <c r="AC24" s="20">
        <f>AD24-AB24</f>
        <v>44234</v>
      </c>
      <c r="AD24" s="20">
        <v>82520</v>
      </c>
      <c r="AE24" s="20">
        <v>51515</v>
      </c>
      <c r="AF24" s="20">
        <v>134035</v>
      </c>
      <c r="AG24" s="20">
        <f>AH24-AF24</f>
        <v>54962</v>
      </c>
      <c r="AH24" s="21">
        <v>188997</v>
      </c>
      <c r="AI24" s="12"/>
      <c r="AJ24" s="25">
        <v>35129</v>
      </c>
      <c r="AK24" s="20">
        <v>43702</v>
      </c>
      <c r="AL24" s="20">
        <v>78831</v>
      </c>
      <c r="AM24" s="20">
        <v>44092</v>
      </c>
      <c r="AN24" s="20">
        <v>122923</v>
      </c>
      <c r="AO24" s="20">
        <v>52463</v>
      </c>
      <c r="AP24" s="21">
        <v>175386</v>
      </c>
      <c r="AQ24" s="12"/>
      <c r="AR24" s="25">
        <v>0</v>
      </c>
      <c r="AS24" s="20">
        <v>0</v>
      </c>
      <c r="AT24" s="20">
        <v>0</v>
      </c>
      <c r="AU24" s="20">
        <v>20319</v>
      </c>
      <c r="AV24" s="20">
        <v>20319</v>
      </c>
      <c r="AW24" s="20">
        <v>48123</v>
      </c>
      <c r="AX24" s="21">
        <v>68442</v>
      </c>
    </row>
    <row r="25" spans="1:50" s="14" customFormat="1" x14ac:dyDescent="0.25">
      <c r="A25" s="12" t="s">
        <v>11</v>
      </c>
      <c r="B25" s="215"/>
      <c r="C25" s="215"/>
      <c r="D25" s="291">
        <v>46998</v>
      </c>
      <c r="E25" s="407">
        <f t="shared" ref="E25:E53" si="1">F25-D25</f>
        <v>46060</v>
      </c>
      <c r="F25" s="407">
        <v>93058</v>
      </c>
      <c r="G25" s="407">
        <f t="shared" ref="G25:G36" si="2">H25-F25</f>
        <v>0</v>
      </c>
      <c r="H25" s="407">
        <v>93058</v>
      </c>
      <c r="I25" s="407">
        <f t="shared" ref="I25:I36" si="3">J25-H25</f>
        <v>0</v>
      </c>
      <c r="J25" s="292">
        <v>93058</v>
      </c>
      <c r="K25" s="215"/>
      <c r="L25" s="291">
        <v>42943</v>
      </c>
      <c r="M25" s="290">
        <f t="shared" ref="M25:Q53" si="4">N25-L25</f>
        <v>47540</v>
      </c>
      <c r="N25" s="290">
        <v>90483</v>
      </c>
      <c r="O25" s="290">
        <f t="shared" si="4"/>
        <v>52506</v>
      </c>
      <c r="P25" s="290">
        <v>142989</v>
      </c>
      <c r="Q25" s="290">
        <f t="shared" si="4"/>
        <v>48457</v>
      </c>
      <c r="R25" s="292">
        <v>191446</v>
      </c>
      <c r="S25" s="215"/>
      <c r="T25" s="291">
        <v>35341</v>
      </c>
      <c r="U25" s="290">
        <f t="shared" si="0"/>
        <v>35511</v>
      </c>
      <c r="V25" s="290">
        <v>70852</v>
      </c>
      <c r="W25" s="290">
        <f t="shared" ref="W25:Y53" si="5">X25-V25</f>
        <v>39787</v>
      </c>
      <c r="X25" s="290">
        <v>110639</v>
      </c>
      <c r="Y25" s="290">
        <f t="shared" si="5"/>
        <v>39389</v>
      </c>
      <c r="Z25" s="292">
        <v>150028</v>
      </c>
      <c r="AA25" s="215"/>
      <c r="AB25" s="291">
        <v>29551</v>
      </c>
      <c r="AC25" s="290">
        <f t="shared" ref="AC25:AC53" si="6">AD25-AB25</f>
        <v>29553</v>
      </c>
      <c r="AD25" s="290">
        <v>59104</v>
      </c>
      <c r="AE25" s="290">
        <v>36864</v>
      </c>
      <c r="AF25" s="290">
        <v>95968</v>
      </c>
      <c r="AG25" s="290">
        <f t="shared" ref="AG25:AG53" si="7">AH25-AF25</f>
        <v>38699</v>
      </c>
      <c r="AH25" s="292">
        <v>134667</v>
      </c>
      <c r="AI25" s="215"/>
      <c r="AJ25" s="291">
        <v>27823</v>
      </c>
      <c r="AK25" s="290">
        <v>31936</v>
      </c>
      <c r="AL25" s="290">
        <v>59759</v>
      </c>
      <c r="AM25" s="290">
        <v>28671</v>
      </c>
      <c r="AN25" s="290">
        <v>88430</v>
      </c>
      <c r="AO25" s="290">
        <v>36748</v>
      </c>
      <c r="AP25" s="292">
        <v>125178</v>
      </c>
      <c r="AQ25" s="215"/>
      <c r="AR25" s="291">
        <v>0</v>
      </c>
      <c r="AS25" s="290">
        <v>0</v>
      </c>
      <c r="AT25" s="290">
        <v>0</v>
      </c>
      <c r="AU25" s="290">
        <v>14120</v>
      </c>
      <c r="AV25" s="290">
        <v>14120</v>
      </c>
      <c r="AW25" s="290">
        <v>34633</v>
      </c>
      <c r="AX25" s="292">
        <v>48753</v>
      </c>
    </row>
    <row r="26" spans="1:50" s="14" customFormat="1" x14ac:dyDescent="0.25">
      <c r="A26" s="12" t="s">
        <v>12</v>
      </c>
      <c r="B26" s="12"/>
      <c r="C26" s="12"/>
      <c r="D26" s="25">
        <f>D24-D25</f>
        <v>16634</v>
      </c>
      <c r="E26" s="406">
        <f t="shared" si="1"/>
        <v>23045</v>
      </c>
      <c r="F26" s="406">
        <f>F24-F25</f>
        <v>39679</v>
      </c>
      <c r="G26" s="406">
        <f t="shared" si="2"/>
        <v>0</v>
      </c>
      <c r="H26" s="406">
        <v>39679</v>
      </c>
      <c r="I26" s="406">
        <f t="shared" si="3"/>
        <v>0</v>
      </c>
      <c r="J26" s="21">
        <v>39679</v>
      </c>
      <c r="K26" s="12"/>
      <c r="L26" s="25">
        <v>15278</v>
      </c>
      <c r="M26" s="20">
        <f t="shared" si="4"/>
        <v>22701</v>
      </c>
      <c r="N26" s="20">
        <v>37979</v>
      </c>
      <c r="O26" s="20">
        <f t="shared" si="4"/>
        <v>18611</v>
      </c>
      <c r="P26" s="20">
        <f>P24-P25</f>
        <v>56590</v>
      </c>
      <c r="Q26" s="20">
        <f t="shared" si="4"/>
        <v>18880</v>
      </c>
      <c r="R26" s="21">
        <v>75470</v>
      </c>
      <c r="S26" s="12"/>
      <c r="T26" s="25">
        <f>T24-T25</f>
        <v>11935</v>
      </c>
      <c r="U26" s="20">
        <f t="shared" si="0"/>
        <v>14907</v>
      </c>
      <c r="V26" s="20">
        <v>26842</v>
      </c>
      <c r="W26" s="20">
        <f t="shared" si="5"/>
        <v>15889</v>
      </c>
      <c r="X26" s="20">
        <v>42731</v>
      </c>
      <c r="Y26" s="20">
        <f t="shared" si="5"/>
        <v>18488</v>
      </c>
      <c r="Z26" s="21">
        <v>61219</v>
      </c>
      <c r="AA26" s="12"/>
      <c r="AB26" s="25">
        <v>8735</v>
      </c>
      <c r="AC26" s="20">
        <f t="shared" si="6"/>
        <v>14681</v>
      </c>
      <c r="AD26" s="20">
        <v>23416</v>
      </c>
      <c r="AE26" s="20">
        <v>14651</v>
      </c>
      <c r="AF26" s="20">
        <v>38067</v>
      </c>
      <c r="AG26" s="20">
        <f t="shared" si="7"/>
        <v>16263</v>
      </c>
      <c r="AH26" s="21">
        <v>54330</v>
      </c>
      <c r="AI26" s="12"/>
      <c r="AJ26" s="25">
        <v>7306</v>
      </c>
      <c r="AK26" s="20">
        <v>11766</v>
      </c>
      <c r="AL26" s="20">
        <v>19072</v>
      </c>
      <c r="AM26" s="20">
        <v>15421</v>
      </c>
      <c r="AN26" s="20">
        <v>34493</v>
      </c>
      <c r="AO26" s="20">
        <v>15715</v>
      </c>
      <c r="AP26" s="21">
        <v>50208</v>
      </c>
      <c r="AQ26" s="12"/>
      <c r="AR26" s="25">
        <v>0</v>
      </c>
      <c r="AS26" s="20">
        <v>0</v>
      </c>
      <c r="AT26" s="20">
        <v>0</v>
      </c>
      <c r="AU26" s="20">
        <v>6199</v>
      </c>
      <c r="AV26" s="20">
        <v>6199</v>
      </c>
      <c r="AW26" s="20">
        <v>13490</v>
      </c>
      <c r="AX26" s="21">
        <v>19689</v>
      </c>
    </row>
    <row r="27" spans="1:50" ht="15" customHeight="1" outlineLevel="1" x14ac:dyDescent="0.25">
      <c r="A27" s="6" t="s">
        <v>13</v>
      </c>
      <c r="B27" s="6"/>
      <c r="C27" s="6"/>
      <c r="D27" s="27">
        <v>11803</v>
      </c>
      <c r="E27" s="408">
        <f t="shared" si="1"/>
        <v>14532</v>
      </c>
      <c r="F27" s="408">
        <v>26335</v>
      </c>
      <c r="G27" s="408">
        <f t="shared" si="2"/>
        <v>0</v>
      </c>
      <c r="H27" s="408">
        <v>26335</v>
      </c>
      <c r="I27" s="408">
        <f t="shared" si="3"/>
        <v>0</v>
      </c>
      <c r="J27" s="29">
        <v>26335</v>
      </c>
      <c r="K27" s="6"/>
      <c r="L27" s="27">
        <v>11137</v>
      </c>
      <c r="M27" s="28">
        <f t="shared" si="4"/>
        <v>11703</v>
      </c>
      <c r="N27" s="28">
        <v>22840</v>
      </c>
      <c r="O27" s="28">
        <f t="shared" si="4"/>
        <v>10559</v>
      </c>
      <c r="P27" s="28">
        <v>33399</v>
      </c>
      <c r="Q27" s="28">
        <f t="shared" si="4"/>
        <v>13278</v>
      </c>
      <c r="R27" s="29">
        <v>46677</v>
      </c>
      <c r="S27" s="6"/>
      <c r="T27" s="27">
        <v>9151</v>
      </c>
      <c r="U27" s="28">
        <f t="shared" si="0"/>
        <v>9272</v>
      </c>
      <c r="V27" s="28">
        <v>18423</v>
      </c>
      <c r="W27" s="28">
        <f t="shared" si="5"/>
        <v>6782</v>
      </c>
      <c r="X27" s="28">
        <v>25205</v>
      </c>
      <c r="Y27" s="28">
        <f t="shared" si="5"/>
        <v>10670</v>
      </c>
      <c r="Z27" s="29">
        <v>35875</v>
      </c>
      <c r="AA27" s="6"/>
      <c r="AB27" s="27">
        <v>6592</v>
      </c>
      <c r="AC27" s="28">
        <f t="shared" si="6"/>
        <v>8319</v>
      </c>
      <c r="AD27" s="28">
        <v>14911</v>
      </c>
      <c r="AE27" s="28">
        <v>7351</v>
      </c>
      <c r="AF27" s="28">
        <v>22262</v>
      </c>
      <c r="AG27" s="28">
        <f t="shared" si="7"/>
        <v>7756</v>
      </c>
      <c r="AH27" s="29">
        <v>30018</v>
      </c>
      <c r="AI27" s="6"/>
      <c r="AJ27" s="27">
        <v>5433</v>
      </c>
      <c r="AK27" s="28">
        <v>7015</v>
      </c>
      <c r="AL27" s="28">
        <v>12448</v>
      </c>
      <c r="AM27" s="28">
        <v>7457</v>
      </c>
      <c r="AN27" s="28">
        <v>19905</v>
      </c>
      <c r="AO27" s="28">
        <v>6607</v>
      </c>
      <c r="AP27" s="29">
        <v>26512</v>
      </c>
      <c r="AQ27" s="6"/>
      <c r="AR27" s="27">
        <v>0</v>
      </c>
      <c r="AS27" s="28">
        <v>0</v>
      </c>
      <c r="AT27" s="22">
        <v>0</v>
      </c>
      <c r="AU27" s="28">
        <v>4608</v>
      </c>
      <c r="AV27" s="22">
        <v>4608</v>
      </c>
      <c r="AW27" s="28">
        <v>7789</v>
      </c>
      <c r="AX27" s="23">
        <v>12397</v>
      </c>
    </row>
    <row r="28" spans="1:50" ht="15" customHeight="1" outlineLevel="1" x14ac:dyDescent="0.25">
      <c r="A28" s="6" t="s">
        <v>14</v>
      </c>
      <c r="B28" s="6"/>
      <c r="C28" s="6"/>
      <c r="D28" s="27">
        <v>125</v>
      </c>
      <c r="E28" s="408">
        <f t="shared" si="1"/>
        <v>91</v>
      </c>
      <c r="F28" s="408">
        <v>216</v>
      </c>
      <c r="G28" s="408">
        <f t="shared" si="2"/>
        <v>0</v>
      </c>
      <c r="H28" s="408">
        <v>216</v>
      </c>
      <c r="I28" s="408">
        <f t="shared" si="3"/>
        <v>0</v>
      </c>
      <c r="J28" s="29">
        <v>216</v>
      </c>
      <c r="K28" s="6"/>
      <c r="L28" s="27">
        <v>125</v>
      </c>
      <c r="M28" s="28">
        <f t="shared" si="4"/>
        <v>125</v>
      </c>
      <c r="N28" s="28">
        <v>250</v>
      </c>
      <c r="O28" s="28">
        <f t="shared" si="4"/>
        <v>125</v>
      </c>
      <c r="P28" s="28">
        <v>375</v>
      </c>
      <c r="Q28" s="28">
        <f t="shared" si="4"/>
        <v>125</v>
      </c>
      <c r="R28" s="29">
        <v>500</v>
      </c>
      <c r="S28" s="6"/>
      <c r="T28" s="27">
        <v>125</v>
      </c>
      <c r="U28" s="28">
        <f t="shared" si="0"/>
        <v>125</v>
      </c>
      <c r="V28" s="28">
        <v>250</v>
      </c>
      <c r="W28" s="28">
        <f t="shared" si="5"/>
        <v>125</v>
      </c>
      <c r="X28" s="28">
        <v>375</v>
      </c>
      <c r="Y28" s="28">
        <f t="shared" si="5"/>
        <v>125</v>
      </c>
      <c r="Z28" s="29">
        <v>500</v>
      </c>
      <c r="AA28" s="6"/>
      <c r="AB28" s="27">
        <v>125</v>
      </c>
      <c r="AC28" s="28">
        <f t="shared" si="6"/>
        <v>125</v>
      </c>
      <c r="AD28" s="28">
        <v>250</v>
      </c>
      <c r="AE28" s="28">
        <v>125</v>
      </c>
      <c r="AF28" s="28">
        <v>375</v>
      </c>
      <c r="AG28" s="28">
        <f t="shared" si="7"/>
        <v>125</v>
      </c>
      <c r="AH28" s="29">
        <v>500</v>
      </c>
      <c r="AI28" s="6"/>
      <c r="AJ28" s="27">
        <v>125</v>
      </c>
      <c r="AK28" s="28">
        <v>125</v>
      </c>
      <c r="AL28" s="28">
        <v>250</v>
      </c>
      <c r="AM28" s="28">
        <v>125</v>
      </c>
      <c r="AN28" s="28">
        <v>375</v>
      </c>
      <c r="AO28" s="28">
        <v>125</v>
      </c>
      <c r="AP28" s="29">
        <v>500</v>
      </c>
      <c r="AQ28" s="6"/>
      <c r="AR28" s="27">
        <v>0</v>
      </c>
      <c r="AS28" s="28">
        <v>0</v>
      </c>
      <c r="AT28" s="22">
        <v>0</v>
      </c>
      <c r="AU28" s="28">
        <v>0</v>
      </c>
      <c r="AV28" s="22">
        <v>0</v>
      </c>
      <c r="AW28" s="28">
        <v>125</v>
      </c>
      <c r="AX28" s="23">
        <v>125</v>
      </c>
    </row>
    <row r="29" spans="1:50" ht="15" customHeight="1" outlineLevel="1" x14ac:dyDescent="0.25">
      <c r="A29" s="6" t="s">
        <v>15</v>
      </c>
      <c r="B29" s="6"/>
      <c r="C29" s="6"/>
      <c r="D29" s="24">
        <v>3450</v>
      </c>
      <c r="E29" s="405">
        <f t="shared" si="1"/>
        <v>3446</v>
      </c>
      <c r="F29" s="405">
        <v>6896</v>
      </c>
      <c r="G29" s="405">
        <f t="shared" si="2"/>
        <v>0</v>
      </c>
      <c r="H29" s="405">
        <v>6896</v>
      </c>
      <c r="I29" s="405">
        <f t="shared" si="3"/>
        <v>0</v>
      </c>
      <c r="J29" s="23">
        <v>6896</v>
      </c>
      <c r="K29" s="6"/>
      <c r="L29" s="24">
        <v>3257</v>
      </c>
      <c r="M29" s="22">
        <f t="shared" si="4"/>
        <v>3415</v>
      </c>
      <c r="N29" s="22">
        <v>6672</v>
      </c>
      <c r="O29" s="22">
        <f t="shared" si="4"/>
        <v>3649</v>
      </c>
      <c r="P29" s="22">
        <v>10321</v>
      </c>
      <c r="Q29" s="22">
        <f t="shared" si="4"/>
        <v>3529</v>
      </c>
      <c r="R29" s="23">
        <v>13850</v>
      </c>
      <c r="S29" s="6"/>
      <c r="T29" s="24">
        <v>3105</v>
      </c>
      <c r="U29" s="22">
        <f t="shared" si="0"/>
        <v>3059</v>
      </c>
      <c r="V29" s="22">
        <v>6164</v>
      </c>
      <c r="W29" s="22">
        <f t="shared" si="5"/>
        <v>3390</v>
      </c>
      <c r="X29" s="22">
        <v>9554</v>
      </c>
      <c r="Y29" s="22">
        <f t="shared" si="5"/>
        <v>3253</v>
      </c>
      <c r="Z29" s="23">
        <v>12807</v>
      </c>
      <c r="AA29" s="6"/>
      <c r="AB29" s="24">
        <v>2976</v>
      </c>
      <c r="AC29" s="22">
        <f t="shared" si="6"/>
        <v>3012</v>
      </c>
      <c r="AD29" s="22">
        <v>5988</v>
      </c>
      <c r="AE29" s="22">
        <v>3582</v>
      </c>
      <c r="AF29" s="22">
        <v>9570</v>
      </c>
      <c r="AG29" s="22">
        <f t="shared" si="7"/>
        <v>3008</v>
      </c>
      <c r="AH29" s="23">
        <v>12578</v>
      </c>
      <c r="AI29" s="6"/>
      <c r="AJ29" s="24">
        <v>3303</v>
      </c>
      <c r="AK29" s="22">
        <v>3031</v>
      </c>
      <c r="AL29" s="22">
        <v>6334</v>
      </c>
      <c r="AM29" s="22">
        <v>2946</v>
      </c>
      <c r="AN29" s="22">
        <v>9280</v>
      </c>
      <c r="AO29" s="22">
        <v>2903</v>
      </c>
      <c r="AP29" s="23">
        <v>12183</v>
      </c>
      <c r="AQ29" s="6"/>
      <c r="AR29" s="24">
        <v>0</v>
      </c>
      <c r="AS29" s="22">
        <v>0</v>
      </c>
      <c r="AT29" s="22">
        <v>0</v>
      </c>
      <c r="AU29" s="22">
        <v>562</v>
      </c>
      <c r="AV29" s="22">
        <v>562</v>
      </c>
      <c r="AW29" s="22">
        <v>3868</v>
      </c>
      <c r="AX29" s="23">
        <v>4430</v>
      </c>
    </row>
    <row r="30" spans="1:50" s="163" customFormat="1" ht="15" customHeight="1" outlineLevel="1" x14ac:dyDescent="0.25">
      <c r="A30" s="6" t="s">
        <v>16</v>
      </c>
      <c r="B30" s="6"/>
      <c r="C30" s="6"/>
      <c r="D30" s="160">
        <v>0</v>
      </c>
      <c r="E30" s="409">
        <f t="shared" si="1"/>
        <v>0</v>
      </c>
      <c r="F30" s="409">
        <v>0</v>
      </c>
      <c r="G30" s="409">
        <f t="shared" si="2"/>
        <v>0</v>
      </c>
      <c r="H30" s="409">
        <v>0</v>
      </c>
      <c r="I30" s="409">
        <f t="shared" si="3"/>
        <v>0</v>
      </c>
      <c r="J30" s="162">
        <v>0</v>
      </c>
      <c r="K30" s="6"/>
      <c r="L30" s="160">
        <v>0</v>
      </c>
      <c r="M30" s="161">
        <f t="shared" si="4"/>
        <v>0</v>
      </c>
      <c r="N30" s="161">
        <v>0</v>
      </c>
      <c r="O30" s="161">
        <f t="shared" si="4"/>
        <v>0</v>
      </c>
      <c r="P30" s="161">
        <v>0</v>
      </c>
      <c r="Q30" s="161">
        <f t="shared" si="4"/>
        <v>0</v>
      </c>
      <c r="R30" s="162">
        <v>0</v>
      </c>
      <c r="S30" s="6"/>
      <c r="T30" s="160">
        <v>0</v>
      </c>
      <c r="U30" s="161">
        <f t="shared" si="0"/>
        <v>0</v>
      </c>
      <c r="V30" s="161">
        <v>0</v>
      </c>
      <c r="W30" s="161">
        <f t="shared" si="5"/>
        <v>0</v>
      </c>
      <c r="X30" s="161">
        <v>0</v>
      </c>
      <c r="Y30" s="161">
        <f t="shared" si="5"/>
        <v>0</v>
      </c>
      <c r="Z30" s="162">
        <v>0</v>
      </c>
      <c r="AA30" s="6"/>
      <c r="AB30" s="160">
        <v>0</v>
      </c>
      <c r="AC30" s="161">
        <f t="shared" si="6"/>
        <v>0</v>
      </c>
      <c r="AD30" s="161">
        <v>0</v>
      </c>
      <c r="AE30" s="161">
        <v>0</v>
      </c>
      <c r="AF30" s="161">
        <v>0</v>
      </c>
      <c r="AG30" s="161">
        <f t="shared" si="7"/>
        <v>3305</v>
      </c>
      <c r="AH30" s="162">
        <v>3305</v>
      </c>
      <c r="AI30" s="35"/>
      <c r="AJ30" s="160">
        <v>0</v>
      </c>
      <c r="AK30" s="161">
        <v>0</v>
      </c>
      <c r="AL30" s="161">
        <v>0</v>
      </c>
      <c r="AM30" s="161">
        <v>0</v>
      </c>
      <c r="AN30" s="161">
        <v>0</v>
      </c>
      <c r="AO30" s="161">
        <v>0</v>
      </c>
      <c r="AP30" s="162">
        <v>0</v>
      </c>
      <c r="AQ30" s="35"/>
      <c r="AR30" s="160">
        <v>0</v>
      </c>
      <c r="AS30" s="161">
        <v>0</v>
      </c>
      <c r="AT30" s="161">
        <v>0</v>
      </c>
      <c r="AU30" s="161">
        <v>0</v>
      </c>
      <c r="AV30" s="161">
        <v>0</v>
      </c>
      <c r="AW30" s="161">
        <v>0</v>
      </c>
      <c r="AX30" s="162">
        <v>0</v>
      </c>
    </row>
    <row r="31" spans="1:50" s="14" customFormat="1" x14ac:dyDescent="0.25">
      <c r="A31" s="12" t="s">
        <v>17</v>
      </c>
      <c r="B31" s="12"/>
      <c r="C31" s="12"/>
      <c r="D31" s="25">
        <v>1256</v>
      </c>
      <c r="E31" s="406">
        <f t="shared" si="1"/>
        <v>4976</v>
      </c>
      <c r="F31" s="406">
        <v>6232</v>
      </c>
      <c r="G31" s="406">
        <f t="shared" si="2"/>
        <v>0</v>
      </c>
      <c r="H31" s="406">
        <v>6232</v>
      </c>
      <c r="I31" s="406">
        <f t="shared" si="3"/>
        <v>0</v>
      </c>
      <c r="J31" s="21">
        <v>6232</v>
      </c>
      <c r="K31" s="12"/>
      <c r="L31" s="25">
        <v>759</v>
      </c>
      <c r="M31" s="20">
        <f t="shared" si="4"/>
        <v>7458</v>
      </c>
      <c r="N31" s="20">
        <v>8217</v>
      </c>
      <c r="O31" s="20">
        <f t="shared" si="4"/>
        <v>4278</v>
      </c>
      <c r="P31" s="20">
        <v>12495</v>
      </c>
      <c r="Q31" s="20">
        <f t="shared" si="4"/>
        <v>1948</v>
      </c>
      <c r="R31" s="21">
        <v>14443</v>
      </c>
      <c r="S31" s="12"/>
      <c r="T31" s="25">
        <v>-446</v>
      </c>
      <c r="U31" s="20">
        <f t="shared" si="0"/>
        <v>2451</v>
      </c>
      <c r="V31" s="20">
        <v>2005</v>
      </c>
      <c r="W31" s="20">
        <f t="shared" si="5"/>
        <v>5592</v>
      </c>
      <c r="X31" s="20">
        <v>7597</v>
      </c>
      <c r="Y31" s="20">
        <f t="shared" si="5"/>
        <v>4440</v>
      </c>
      <c r="Z31" s="21">
        <v>12037</v>
      </c>
      <c r="AA31" s="12"/>
      <c r="AB31" s="25">
        <v>-958</v>
      </c>
      <c r="AC31" s="20">
        <f t="shared" si="6"/>
        <v>3225</v>
      </c>
      <c r="AD31" s="20">
        <v>2267</v>
      </c>
      <c r="AE31" s="20">
        <v>3593</v>
      </c>
      <c r="AF31" s="20">
        <v>5860</v>
      </c>
      <c r="AG31" s="20">
        <f t="shared" si="7"/>
        <v>2069</v>
      </c>
      <c r="AH31" s="21">
        <v>7929</v>
      </c>
      <c r="AI31" s="12"/>
      <c r="AJ31" s="25">
        <v>-1555</v>
      </c>
      <c r="AK31" s="20">
        <v>1595</v>
      </c>
      <c r="AL31" s="20">
        <v>40</v>
      </c>
      <c r="AM31" s="20">
        <v>4893</v>
      </c>
      <c r="AN31" s="20">
        <v>4933</v>
      </c>
      <c r="AO31" s="20">
        <v>6080</v>
      </c>
      <c r="AP31" s="21">
        <v>11013</v>
      </c>
      <c r="AQ31" s="12"/>
      <c r="AR31" s="25">
        <v>0</v>
      </c>
      <c r="AS31" s="20">
        <v>0</v>
      </c>
      <c r="AT31" s="20">
        <v>0</v>
      </c>
      <c r="AU31" s="20">
        <v>1029</v>
      </c>
      <c r="AV31" s="20">
        <v>1029</v>
      </c>
      <c r="AW31" s="20">
        <v>1708</v>
      </c>
      <c r="AX31" s="21">
        <v>2737</v>
      </c>
    </row>
    <row r="32" spans="1:50" ht="15" customHeight="1" outlineLevel="1" x14ac:dyDescent="0.25">
      <c r="A32" s="6" t="s">
        <v>18</v>
      </c>
      <c r="B32" s="6"/>
      <c r="C32" s="6"/>
      <c r="D32" s="27">
        <v>269</v>
      </c>
      <c r="E32" s="408">
        <f t="shared" si="1"/>
        <v>-142</v>
      </c>
      <c r="F32" s="408">
        <v>127</v>
      </c>
      <c r="G32" s="408">
        <f t="shared" si="2"/>
        <v>0</v>
      </c>
      <c r="H32" s="408">
        <v>127</v>
      </c>
      <c r="I32" s="408">
        <f t="shared" si="3"/>
        <v>0</v>
      </c>
      <c r="J32" s="29">
        <v>127</v>
      </c>
      <c r="K32" s="6"/>
      <c r="L32" s="27">
        <v>158</v>
      </c>
      <c r="M32" s="28">
        <f t="shared" si="4"/>
        <v>136</v>
      </c>
      <c r="N32" s="28">
        <v>294</v>
      </c>
      <c r="O32" s="28">
        <f t="shared" si="4"/>
        <v>147</v>
      </c>
      <c r="P32" s="28">
        <v>441</v>
      </c>
      <c r="Q32" s="28">
        <f t="shared" si="4"/>
        <v>513</v>
      </c>
      <c r="R32" s="29">
        <v>954</v>
      </c>
      <c r="S32" s="6"/>
      <c r="T32" s="27">
        <v>50</v>
      </c>
      <c r="U32" s="28">
        <f t="shared" si="0"/>
        <v>110</v>
      </c>
      <c r="V32" s="28">
        <v>160</v>
      </c>
      <c r="W32" s="28">
        <f t="shared" si="5"/>
        <v>105</v>
      </c>
      <c r="X32" s="28">
        <v>265</v>
      </c>
      <c r="Y32" s="28">
        <f t="shared" si="5"/>
        <v>137</v>
      </c>
      <c r="Z32" s="29">
        <v>402</v>
      </c>
      <c r="AA32" s="6"/>
      <c r="AB32" s="27">
        <v>116</v>
      </c>
      <c r="AC32" s="28">
        <f t="shared" si="6"/>
        <v>430</v>
      </c>
      <c r="AD32" s="28">
        <v>546</v>
      </c>
      <c r="AE32" s="28">
        <v>192</v>
      </c>
      <c r="AF32" s="28">
        <v>738</v>
      </c>
      <c r="AG32" s="28">
        <f t="shared" si="7"/>
        <v>233</v>
      </c>
      <c r="AH32" s="29">
        <v>971</v>
      </c>
      <c r="AI32" s="6"/>
      <c r="AJ32" s="27">
        <v>146</v>
      </c>
      <c r="AK32" s="28">
        <v>154</v>
      </c>
      <c r="AL32" s="28">
        <v>300</v>
      </c>
      <c r="AM32" s="28">
        <v>285</v>
      </c>
      <c r="AN32" s="28">
        <v>585</v>
      </c>
      <c r="AO32" s="28">
        <v>124</v>
      </c>
      <c r="AP32" s="29">
        <v>709</v>
      </c>
      <c r="AQ32" s="6"/>
      <c r="AR32" s="27">
        <v>0</v>
      </c>
      <c r="AS32" s="28">
        <v>0</v>
      </c>
      <c r="AT32" s="22">
        <v>0</v>
      </c>
      <c r="AU32" s="28">
        <v>10</v>
      </c>
      <c r="AV32" s="22">
        <v>10</v>
      </c>
      <c r="AW32" s="28">
        <v>171</v>
      </c>
      <c r="AX32" s="23">
        <v>181</v>
      </c>
    </row>
    <row r="33" spans="1:50" ht="15" customHeight="1" outlineLevel="1" x14ac:dyDescent="0.25">
      <c r="A33" s="6" t="s">
        <v>19</v>
      </c>
      <c r="B33" s="6"/>
      <c r="C33" s="6"/>
      <c r="D33" s="27">
        <v>129</v>
      </c>
      <c r="E33" s="408">
        <f t="shared" si="1"/>
        <v>96</v>
      </c>
      <c r="F33" s="408">
        <v>225</v>
      </c>
      <c r="G33" s="408">
        <f t="shared" si="2"/>
        <v>0</v>
      </c>
      <c r="H33" s="408">
        <v>225</v>
      </c>
      <c r="I33" s="408">
        <f t="shared" si="3"/>
        <v>0</v>
      </c>
      <c r="J33" s="29">
        <v>225</v>
      </c>
      <c r="K33" s="6"/>
      <c r="L33" s="27">
        <v>64</v>
      </c>
      <c r="M33" s="28">
        <f t="shared" si="4"/>
        <v>101</v>
      </c>
      <c r="N33" s="28">
        <v>165</v>
      </c>
      <c r="O33" s="28">
        <f t="shared" si="4"/>
        <v>63</v>
      </c>
      <c r="P33" s="28">
        <v>228</v>
      </c>
      <c r="Q33" s="28">
        <f t="shared" si="4"/>
        <v>91</v>
      </c>
      <c r="R33" s="29">
        <v>319</v>
      </c>
      <c r="S33" s="6"/>
      <c r="T33" s="27">
        <v>112</v>
      </c>
      <c r="U33" s="28">
        <f t="shared" si="0"/>
        <v>59</v>
      </c>
      <c r="V33" s="28">
        <v>171</v>
      </c>
      <c r="W33" s="28">
        <f t="shared" si="5"/>
        <v>74</v>
      </c>
      <c r="X33" s="28">
        <v>245</v>
      </c>
      <c r="Y33" s="28">
        <f t="shared" si="5"/>
        <v>82</v>
      </c>
      <c r="Z33" s="29">
        <v>327</v>
      </c>
      <c r="AA33" s="6"/>
      <c r="AB33" s="27">
        <v>137</v>
      </c>
      <c r="AC33" s="28">
        <f t="shared" si="6"/>
        <v>116</v>
      </c>
      <c r="AD33" s="28">
        <v>253</v>
      </c>
      <c r="AE33" s="28">
        <v>89</v>
      </c>
      <c r="AF33" s="28">
        <v>342</v>
      </c>
      <c r="AG33" s="28">
        <f t="shared" si="7"/>
        <v>119</v>
      </c>
      <c r="AH33" s="29">
        <v>461</v>
      </c>
      <c r="AI33" s="6"/>
      <c r="AJ33" s="27">
        <v>74</v>
      </c>
      <c r="AK33" s="28">
        <v>124</v>
      </c>
      <c r="AL33" s="28">
        <v>198</v>
      </c>
      <c r="AM33" s="28">
        <v>100</v>
      </c>
      <c r="AN33" s="28">
        <v>298</v>
      </c>
      <c r="AO33" s="28">
        <v>71</v>
      </c>
      <c r="AP33" s="29">
        <v>369</v>
      </c>
      <c r="AQ33" s="6"/>
      <c r="AR33" s="27">
        <v>0</v>
      </c>
      <c r="AS33" s="28">
        <v>0</v>
      </c>
      <c r="AT33" s="22">
        <v>0</v>
      </c>
      <c r="AU33" s="28">
        <v>36</v>
      </c>
      <c r="AV33" s="22">
        <v>36</v>
      </c>
      <c r="AW33" s="28">
        <v>115</v>
      </c>
      <c r="AX33" s="23">
        <v>151</v>
      </c>
    </row>
    <row r="34" spans="1:50" ht="15" customHeight="1" outlineLevel="1" x14ac:dyDescent="0.25">
      <c r="A34" s="6" t="s">
        <v>20</v>
      </c>
      <c r="B34" s="6"/>
      <c r="C34" s="6"/>
      <c r="D34" s="27">
        <v>4589</v>
      </c>
      <c r="E34" s="408">
        <f t="shared" si="1"/>
        <v>5609</v>
      </c>
      <c r="F34" s="408">
        <v>10198</v>
      </c>
      <c r="G34" s="408">
        <f t="shared" si="2"/>
        <v>0</v>
      </c>
      <c r="H34" s="408">
        <v>10198</v>
      </c>
      <c r="I34" s="408">
        <f t="shared" si="3"/>
        <v>0</v>
      </c>
      <c r="J34" s="29">
        <v>10198</v>
      </c>
      <c r="K34" s="6"/>
      <c r="L34" s="27">
        <v>3470</v>
      </c>
      <c r="M34" s="28">
        <f t="shared" si="4"/>
        <v>3968</v>
      </c>
      <c r="N34" s="28">
        <v>7438</v>
      </c>
      <c r="O34" s="28">
        <f t="shared" si="4"/>
        <v>4406</v>
      </c>
      <c r="P34" s="28">
        <v>11844</v>
      </c>
      <c r="Q34" s="28">
        <f t="shared" si="4"/>
        <v>4638</v>
      </c>
      <c r="R34" s="29">
        <v>16482</v>
      </c>
      <c r="S34" s="6"/>
      <c r="T34" s="27">
        <v>3224</v>
      </c>
      <c r="U34" s="28">
        <f t="shared" si="0"/>
        <v>3424</v>
      </c>
      <c r="V34" s="28">
        <v>6648</v>
      </c>
      <c r="W34" s="28">
        <f t="shared" si="5"/>
        <v>3460</v>
      </c>
      <c r="X34" s="28">
        <v>10108</v>
      </c>
      <c r="Y34" s="28">
        <f t="shared" si="5"/>
        <v>3360</v>
      </c>
      <c r="Z34" s="29">
        <v>13468</v>
      </c>
      <c r="AA34" s="6"/>
      <c r="AB34" s="27">
        <v>2758</v>
      </c>
      <c r="AC34" s="28">
        <f t="shared" si="6"/>
        <v>3059</v>
      </c>
      <c r="AD34" s="28">
        <v>5817</v>
      </c>
      <c r="AE34" s="28">
        <v>3339</v>
      </c>
      <c r="AF34" s="28">
        <v>9156</v>
      </c>
      <c r="AG34" s="28">
        <f t="shared" si="7"/>
        <v>3281</v>
      </c>
      <c r="AH34" s="29">
        <v>12437</v>
      </c>
      <c r="AI34" s="6"/>
      <c r="AJ34" s="27">
        <v>3014</v>
      </c>
      <c r="AK34" s="28">
        <v>2928</v>
      </c>
      <c r="AL34" s="28">
        <v>5942</v>
      </c>
      <c r="AM34" s="28">
        <v>2987</v>
      </c>
      <c r="AN34" s="28">
        <v>8929</v>
      </c>
      <c r="AO34" s="28">
        <v>2900</v>
      </c>
      <c r="AP34" s="29">
        <v>11829</v>
      </c>
      <c r="AQ34" s="6"/>
      <c r="AR34" s="27">
        <v>0</v>
      </c>
      <c r="AS34" s="28">
        <v>0</v>
      </c>
      <c r="AT34" s="22">
        <v>0</v>
      </c>
      <c r="AU34" s="28">
        <v>1077</v>
      </c>
      <c r="AV34" s="22">
        <v>1077</v>
      </c>
      <c r="AW34" s="28">
        <v>2920</v>
      </c>
      <c r="AX34" s="23">
        <v>3997</v>
      </c>
    </row>
    <row r="35" spans="1:50" ht="17.25" customHeight="1" outlineLevel="1" x14ac:dyDescent="0.4">
      <c r="A35" s="6" t="s">
        <v>21</v>
      </c>
      <c r="B35" s="6"/>
      <c r="C35" s="6"/>
      <c r="D35" s="31">
        <v>-1021</v>
      </c>
      <c r="E35" s="410">
        <f t="shared" si="1"/>
        <v>-10586</v>
      </c>
      <c r="F35" s="410">
        <v>-11607</v>
      </c>
      <c r="G35" s="410">
        <f t="shared" si="2"/>
        <v>0</v>
      </c>
      <c r="H35" s="410">
        <v>-11607</v>
      </c>
      <c r="I35" s="410">
        <f t="shared" si="3"/>
        <v>0</v>
      </c>
      <c r="J35" s="33">
        <v>-11607</v>
      </c>
      <c r="K35" s="6"/>
      <c r="L35" s="31">
        <v>-617</v>
      </c>
      <c r="M35" s="32">
        <f t="shared" si="4"/>
        <v>996</v>
      </c>
      <c r="N35" s="32">
        <v>379</v>
      </c>
      <c r="O35" s="32">
        <f t="shared" si="4"/>
        <v>-2626</v>
      </c>
      <c r="P35" s="32">
        <v>-2247</v>
      </c>
      <c r="Q35" s="32">
        <f t="shared" si="4"/>
        <v>-211</v>
      </c>
      <c r="R35" s="33">
        <v>-2458</v>
      </c>
      <c r="S35" s="6"/>
      <c r="T35" s="31">
        <v>-1444</v>
      </c>
      <c r="U35" s="32">
        <f t="shared" si="0"/>
        <v>-451</v>
      </c>
      <c r="V35" s="32">
        <v>-1895</v>
      </c>
      <c r="W35" s="32">
        <f t="shared" si="5"/>
        <v>854</v>
      </c>
      <c r="X35" s="32">
        <v>-1041</v>
      </c>
      <c r="Y35" s="32">
        <f t="shared" si="5"/>
        <v>-14428</v>
      </c>
      <c r="Z35" s="33">
        <v>-15469</v>
      </c>
      <c r="AA35" s="6"/>
      <c r="AB35" s="31">
        <v>-1608</v>
      </c>
      <c r="AC35" s="32">
        <f t="shared" si="6"/>
        <v>117</v>
      </c>
      <c r="AD35" s="32">
        <v>-1491</v>
      </c>
      <c r="AE35" s="32">
        <v>659</v>
      </c>
      <c r="AF35" s="32">
        <v>-832</v>
      </c>
      <c r="AG35" s="32">
        <f t="shared" si="7"/>
        <v>-1950</v>
      </c>
      <c r="AH35" s="33">
        <v>-2782</v>
      </c>
      <c r="AI35" s="6"/>
      <c r="AJ35" s="31">
        <v>-483</v>
      </c>
      <c r="AK35" s="32">
        <v>-1391</v>
      </c>
      <c r="AL35" s="32">
        <v>-1874</v>
      </c>
      <c r="AM35" s="32">
        <v>389</v>
      </c>
      <c r="AN35" s="32">
        <v>-1485</v>
      </c>
      <c r="AO35" s="32">
        <v>772</v>
      </c>
      <c r="AP35" s="33">
        <v>-713</v>
      </c>
      <c r="AQ35" s="6"/>
      <c r="AR35" s="31">
        <v>0</v>
      </c>
      <c r="AS35" s="32">
        <v>0</v>
      </c>
      <c r="AT35" s="32">
        <v>0</v>
      </c>
      <c r="AU35" s="32">
        <v>-30</v>
      </c>
      <c r="AV35" s="32">
        <v>-30</v>
      </c>
      <c r="AW35" s="32">
        <v>-245</v>
      </c>
      <c r="AX35" s="33">
        <v>-275</v>
      </c>
    </row>
    <row r="36" spans="1:50" s="14" customFormat="1" x14ac:dyDescent="0.25">
      <c r="A36" s="12" t="s">
        <v>24</v>
      </c>
      <c r="B36" s="12"/>
      <c r="C36" s="12"/>
      <c r="D36" s="25">
        <v>-2710</v>
      </c>
      <c r="E36" s="406">
        <f t="shared" si="1"/>
        <v>9999</v>
      </c>
      <c r="F36" s="406">
        <v>7289</v>
      </c>
      <c r="G36" s="406">
        <f t="shared" si="2"/>
        <v>0</v>
      </c>
      <c r="H36" s="406">
        <v>7289</v>
      </c>
      <c r="I36" s="406">
        <f t="shared" si="3"/>
        <v>0</v>
      </c>
      <c r="J36" s="21">
        <v>7289</v>
      </c>
      <c r="K36" s="12"/>
      <c r="L36" s="25">
        <v>-2316</v>
      </c>
      <c r="M36" s="20">
        <f t="shared" si="4"/>
        <v>2257</v>
      </c>
      <c r="N36" s="20">
        <v>-59</v>
      </c>
      <c r="O36" s="20">
        <f t="shared" si="4"/>
        <v>2288</v>
      </c>
      <c r="P36" s="20">
        <v>2229</v>
      </c>
      <c r="Q36" s="20">
        <f t="shared" si="4"/>
        <v>-3083</v>
      </c>
      <c r="R36" s="21">
        <v>-854</v>
      </c>
      <c r="S36" s="12"/>
      <c r="T36" s="25">
        <v>-2388</v>
      </c>
      <c r="U36" s="20">
        <f t="shared" si="0"/>
        <v>-691</v>
      </c>
      <c r="V36" s="20">
        <v>-3079</v>
      </c>
      <c r="W36" s="20">
        <f t="shared" si="5"/>
        <v>1099</v>
      </c>
      <c r="X36" s="20">
        <v>-1980</v>
      </c>
      <c r="Y36" s="20">
        <f t="shared" si="5"/>
        <v>15289</v>
      </c>
      <c r="Z36" s="21">
        <v>13309</v>
      </c>
      <c r="AA36" s="12"/>
      <c r="AB36" s="25">
        <v>-2361</v>
      </c>
      <c r="AC36" s="20">
        <f t="shared" si="6"/>
        <v>-497</v>
      </c>
      <c r="AD36" s="20">
        <v>-2858</v>
      </c>
      <c r="AE36" s="20">
        <v>-686</v>
      </c>
      <c r="AF36" s="20">
        <v>-3544</v>
      </c>
      <c r="AG36" s="20">
        <f t="shared" si="7"/>
        <v>386</v>
      </c>
      <c r="AH36" s="21">
        <v>-3158</v>
      </c>
      <c r="AI36" s="12"/>
      <c r="AJ36" s="25">
        <v>-4306</v>
      </c>
      <c r="AK36" s="20">
        <v>-220</v>
      </c>
      <c r="AL36" s="20">
        <v>-4526</v>
      </c>
      <c r="AM36" s="20">
        <v>1132</v>
      </c>
      <c r="AN36" s="20">
        <v>-3394</v>
      </c>
      <c r="AO36" s="20">
        <v>2213</v>
      </c>
      <c r="AP36" s="21">
        <v>-1181</v>
      </c>
      <c r="AQ36" s="12"/>
      <c r="AR36" s="25">
        <v>0</v>
      </c>
      <c r="AS36" s="20">
        <v>0</v>
      </c>
      <c r="AT36" s="20">
        <v>0</v>
      </c>
      <c r="AU36" s="20">
        <v>-64</v>
      </c>
      <c r="AV36" s="20">
        <v>-64</v>
      </c>
      <c r="AW36" s="20">
        <v>-1253</v>
      </c>
      <c r="AX36" s="21">
        <v>-1317</v>
      </c>
    </row>
    <row r="37" spans="1:50" ht="15" customHeight="1" outlineLevel="1" x14ac:dyDescent="0.25">
      <c r="A37" s="35" t="s">
        <v>54</v>
      </c>
      <c r="B37" s="35"/>
      <c r="C37" s="35"/>
      <c r="D37" s="27"/>
      <c r="E37" s="408"/>
      <c r="F37" s="408"/>
      <c r="G37" s="408"/>
      <c r="H37" s="408"/>
      <c r="I37" s="408"/>
      <c r="J37" s="29"/>
      <c r="K37" s="35"/>
      <c r="L37" s="27"/>
      <c r="M37" s="28"/>
      <c r="N37" s="28"/>
      <c r="O37" s="28"/>
      <c r="P37" s="28"/>
      <c r="Q37" s="28"/>
      <c r="R37" s="29"/>
      <c r="S37" s="35"/>
      <c r="T37" s="27"/>
      <c r="U37" s="28"/>
      <c r="V37" s="28"/>
      <c r="W37" s="28"/>
      <c r="X37" s="28"/>
      <c r="Y37" s="28"/>
      <c r="Z37" s="29"/>
      <c r="AA37" s="35"/>
      <c r="AB37" s="27"/>
      <c r="AC37" s="28"/>
      <c r="AD37" s="28"/>
      <c r="AE37" s="28"/>
      <c r="AF37" s="28"/>
      <c r="AG37" s="28"/>
      <c r="AH37" s="29"/>
      <c r="AI37" s="35"/>
      <c r="AJ37" s="27"/>
      <c r="AK37" s="28"/>
      <c r="AL37" s="28"/>
      <c r="AM37" s="28"/>
      <c r="AN37" s="28"/>
      <c r="AO37" s="28"/>
      <c r="AP37" s="29"/>
      <c r="AQ37" s="35"/>
      <c r="AR37" s="27"/>
      <c r="AS37" s="28"/>
      <c r="AT37" s="36"/>
      <c r="AU37" s="28"/>
      <c r="AV37" s="22"/>
      <c r="AW37" s="28"/>
      <c r="AX37" s="37"/>
    </row>
    <row r="38" spans="1:50" ht="15" customHeight="1" outlineLevel="1" x14ac:dyDescent="0.25">
      <c r="A38" s="6" t="s">
        <v>21</v>
      </c>
      <c r="B38" s="6"/>
      <c r="C38" s="6"/>
      <c r="D38" s="27">
        <v>-1021</v>
      </c>
      <c r="E38" s="408">
        <f t="shared" si="1"/>
        <v>1021</v>
      </c>
      <c r="F38" s="408"/>
      <c r="G38" s="408"/>
      <c r="H38" s="408"/>
      <c r="I38" s="408"/>
      <c r="J38" s="29"/>
      <c r="K38" s="6"/>
      <c r="L38" s="27">
        <v>-617</v>
      </c>
      <c r="M38" s="28">
        <f t="shared" si="4"/>
        <v>996</v>
      </c>
      <c r="N38" s="28">
        <v>379</v>
      </c>
      <c r="O38" s="28">
        <f t="shared" si="4"/>
        <v>-2626</v>
      </c>
      <c r="P38" s="28">
        <v>-2247</v>
      </c>
      <c r="Q38" s="28">
        <f t="shared" si="4"/>
        <v>-211</v>
      </c>
      <c r="R38" s="29">
        <v>-2458</v>
      </c>
      <c r="S38" s="6"/>
      <c r="T38" s="27">
        <v>-1444</v>
      </c>
      <c r="U38" s="28">
        <f t="shared" ref="U38:U53" si="8">V38-T38</f>
        <v>-451</v>
      </c>
      <c r="V38" s="28">
        <v>-1895</v>
      </c>
      <c r="W38" s="28">
        <f t="shared" si="5"/>
        <v>854</v>
      </c>
      <c r="X38" s="28">
        <v>-1041</v>
      </c>
      <c r="Y38" s="28">
        <f t="shared" si="5"/>
        <v>-14428</v>
      </c>
      <c r="Z38" s="29">
        <v>-15469</v>
      </c>
      <c r="AA38" s="6"/>
      <c r="AB38" s="27">
        <v>-1608</v>
      </c>
      <c r="AC38" s="28">
        <f t="shared" si="6"/>
        <v>117</v>
      </c>
      <c r="AD38" s="28">
        <v>-1491</v>
      </c>
      <c r="AE38" s="28">
        <v>659</v>
      </c>
      <c r="AF38" s="28">
        <v>-832</v>
      </c>
      <c r="AG38" s="28">
        <f t="shared" si="7"/>
        <v>-1950</v>
      </c>
      <c r="AH38" s="29">
        <v>-2782</v>
      </c>
      <c r="AI38" s="6"/>
      <c r="AJ38" s="27">
        <v>-483</v>
      </c>
      <c r="AK38" s="28">
        <v>-1391</v>
      </c>
      <c r="AL38" s="28">
        <v>-1874</v>
      </c>
      <c r="AM38" s="28">
        <v>389</v>
      </c>
      <c r="AN38" s="28">
        <v>-1485</v>
      </c>
      <c r="AO38" s="28">
        <v>772</v>
      </c>
      <c r="AP38" s="29">
        <v>-713</v>
      </c>
      <c r="AQ38" s="6"/>
      <c r="AR38" s="27">
        <v>0</v>
      </c>
      <c r="AS38" s="28">
        <v>0</v>
      </c>
      <c r="AT38" s="22">
        <v>0</v>
      </c>
      <c r="AU38" s="28">
        <v>-30</v>
      </c>
      <c r="AV38" s="22">
        <v>-30</v>
      </c>
      <c r="AW38" s="28">
        <v>-245</v>
      </c>
      <c r="AX38" s="23">
        <v>-275</v>
      </c>
    </row>
    <row r="39" spans="1:50" ht="15" customHeight="1" outlineLevel="1" x14ac:dyDescent="0.25">
      <c r="A39" s="6" t="s">
        <v>19</v>
      </c>
      <c r="B39" s="6"/>
      <c r="C39" s="6"/>
      <c r="D39" s="27">
        <v>129</v>
      </c>
      <c r="E39" s="408">
        <f t="shared" si="1"/>
        <v>-129</v>
      </c>
      <c r="F39" s="408"/>
      <c r="G39" s="408"/>
      <c r="H39" s="408"/>
      <c r="I39" s="408"/>
      <c r="J39" s="29"/>
      <c r="K39" s="6"/>
      <c r="L39" s="27">
        <v>64</v>
      </c>
      <c r="M39" s="28">
        <f t="shared" si="4"/>
        <v>101</v>
      </c>
      <c r="N39" s="28">
        <v>165</v>
      </c>
      <c r="O39" s="28">
        <f t="shared" si="4"/>
        <v>63</v>
      </c>
      <c r="P39" s="28">
        <v>228</v>
      </c>
      <c r="Q39" s="28">
        <f t="shared" si="4"/>
        <v>91</v>
      </c>
      <c r="R39" s="29">
        <v>319</v>
      </c>
      <c r="S39" s="6"/>
      <c r="T39" s="27">
        <v>112</v>
      </c>
      <c r="U39" s="28">
        <f t="shared" si="8"/>
        <v>59</v>
      </c>
      <c r="V39" s="28">
        <v>171</v>
      </c>
      <c r="W39" s="28">
        <f t="shared" si="5"/>
        <v>74</v>
      </c>
      <c r="X39" s="28">
        <v>245</v>
      </c>
      <c r="Y39" s="28">
        <f t="shared" si="5"/>
        <v>82</v>
      </c>
      <c r="Z39" s="29">
        <v>327</v>
      </c>
      <c r="AA39" s="6"/>
      <c r="AB39" s="27">
        <v>136</v>
      </c>
      <c r="AC39" s="28">
        <f t="shared" si="6"/>
        <v>117</v>
      </c>
      <c r="AD39" s="28">
        <v>253</v>
      </c>
      <c r="AE39" s="28">
        <v>88</v>
      </c>
      <c r="AF39" s="28">
        <v>341</v>
      </c>
      <c r="AG39" s="28">
        <f t="shared" si="7"/>
        <v>119</v>
      </c>
      <c r="AH39" s="29">
        <v>460</v>
      </c>
      <c r="AI39" s="6"/>
      <c r="AJ39" s="27">
        <v>74</v>
      </c>
      <c r="AK39" s="28">
        <v>124</v>
      </c>
      <c r="AL39" s="28">
        <v>198</v>
      </c>
      <c r="AM39" s="28">
        <v>100</v>
      </c>
      <c r="AN39" s="28">
        <v>298</v>
      </c>
      <c r="AO39" s="28">
        <v>71</v>
      </c>
      <c r="AP39" s="29">
        <v>369</v>
      </c>
      <c r="AQ39" s="6"/>
      <c r="AR39" s="27">
        <v>0</v>
      </c>
      <c r="AS39" s="28">
        <v>0</v>
      </c>
      <c r="AT39" s="22">
        <v>0</v>
      </c>
      <c r="AU39" s="28">
        <v>36</v>
      </c>
      <c r="AV39" s="22">
        <v>36</v>
      </c>
      <c r="AW39" s="28">
        <v>115</v>
      </c>
      <c r="AX39" s="23">
        <v>151</v>
      </c>
    </row>
    <row r="40" spans="1:50" ht="15" customHeight="1" outlineLevel="1" x14ac:dyDescent="0.25">
      <c r="A40" s="6" t="s">
        <v>20</v>
      </c>
      <c r="B40" s="6"/>
      <c r="C40" s="6"/>
      <c r="D40" s="27">
        <v>4589</v>
      </c>
      <c r="E40" s="408">
        <f t="shared" si="1"/>
        <v>-4589</v>
      </c>
      <c r="F40" s="408"/>
      <c r="G40" s="408"/>
      <c r="H40" s="408"/>
      <c r="I40" s="408"/>
      <c r="J40" s="29"/>
      <c r="K40" s="6"/>
      <c r="L40" s="27">
        <v>3470</v>
      </c>
      <c r="M40" s="28">
        <f t="shared" si="4"/>
        <v>3968</v>
      </c>
      <c r="N40" s="28">
        <v>7438</v>
      </c>
      <c r="O40" s="28">
        <f t="shared" si="4"/>
        <v>4406</v>
      </c>
      <c r="P40" s="28">
        <v>11844</v>
      </c>
      <c r="Q40" s="28">
        <f t="shared" si="4"/>
        <v>4638</v>
      </c>
      <c r="R40" s="29">
        <v>16482</v>
      </c>
      <c r="S40" s="6"/>
      <c r="T40" s="27">
        <v>3224</v>
      </c>
      <c r="U40" s="28">
        <f t="shared" si="8"/>
        <v>3424</v>
      </c>
      <c r="V40" s="28">
        <v>6648</v>
      </c>
      <c r="W40" s="28">
        <f t="shared" si="5"/>
        <v>3460</v>
      </c>
      <c r="X40" s="28">
        <v>10108</v>
      </c>
      <c r="Y40" s="28">
        <f t="shared" si="5"/>
        <v>3360</v>
      </c>
      <c r="Z40" s="29">
        <v>13468</v>
      </c>
      <c r="AA40" s="6"/>
      <c r="AB40" s="27">
        <v>2758</v>
      </c>
      <c r="AC40" s="28">
        <f t="shared" si="6"/>
        <v>3059</v>
      </c>
      <c r="AD40" s="28">
        <v>5817</v>
      </c>
      <c r="AE40" s="28">
        <v>3339</v>
      </c>
      <c r="AF40" s="28">
        <v>9156</v>
      </c>
      <c r="AG40" s="28">
        <f t="shared" si="7"/>
        <v>3281</v>
      </c>
      <c r="AH40" s="29">
        <v>12437</v>
      </c>
      <c r="AI40" s="6"/>
      <c r="AJ40" s="27">
        <v>3014</v>
      </c>
      <c r="AK40" s="28">
        <v>2928</v>
      </c>
      <c r="AL40" s="28">
        <v>5942</v>
      </c>
      <c r="AM40" s="28">
        <v>2987</v>
      </c>
      <c r="AN40" s="28">
        <v>8929</v>
      </c>
      <c r="AO40" s="28">
        <v>2900</v>
      </c>
      <c r="AP40" s="29">
        <v>11829</v>
      </c>
      <c r="AQ40" s="6"/>
      <c r="AR40" s="27">
        <v>0</v>
      </c>
      <c r="AS40" s="28">
        <v>0</v>
      </c>
      <c r="AT40" s="22">
        <v>0</v>
      </c>
      <c r="AU40" s="28">
        <v>1077</v>
      </c>
      <c r="AV40" s="22">
        <v>1077</v>
      </c>
      <c r="AW40" s="28">
        <v>2920</v>
      </c>
      <c r="AX40" s="23">
        <v>3997</v>
      </c>
    </row>
    <row r="41" spans="1:50" ht="15" customHeight="1" outlineLevel="1" x14ac:dyDescent="0.25">
      <c r="A41" s="6" t="s">
        <v>55</v>
      </c>
      <c r="B41" s="6"/>
      <c r="C41" s="6"/>
      <c r="D41" s="27">
        <v>6035</v>
      </c>
      <c r="E41" s="408">
        <f t="shared" si="1"/>
        <v>-6035</v>
      </c>
      <c r="F41" s="408"/>
      <c r="G41" s="408"/>
      <c r="H41" s="408"/>
      <c r="I41" s="408"/>
      <c r="J41" s="29"/>
      <c r="K41" s="6"/>
      <c r="L41" s="27">
        <v>5460</v>
      </c>
      <c r="M41" s="28">
        <f t="shared" si="4"/>
        <v>5583</v>
      </c>
      <c r="N41" s="28">
        <v>11043</v>
      </c>
      <c r="O41" s="28">
        <f t="shared" si="4"/>
        <v>6349</v>
      </c>
      <c r="P41" s="28">
        <v>17392</v>
      </c>
      <c r="Q41" s="28">
        <f t="shared" si="4"/>
        <v>6290</v>
      </c>
      <c r="R41" s="29">
        <v>23682</v>
      </c>
      <c r="S41" s="6"/>
      <c r="T41" s="27">
        <v>5227</v>
      </c>
      <c r="U41" s="28">
        <f t="shared" si="8"/>
        <v>5226</v>
      </c>
      <c r="V41" s="28">
        <v>10453</v>
      </c>
      <c r="W41" s="28">
        <f t="shared" si="5"/>
        <v>5687</v>
      </c>
      <c r="X41" s="28">
        <v>16140</v>
      </c>
      <c r="Y41" s="28">
        <f t="shared" si="5"/>
        <v>5507</v>
      </c>
      <c r="Z41" s="29">
        <v>21647</v>
      </c>
      <c r="AA41" s="6"/>
      <c r="AB41" s="27">
        <v>4955</v>
      </c>
      <c r="AC41" s="28">
        <f t="shared" si="6"/>
        <v>5075</v>
      </c>
      <c r="AD41" s="28">
        <v>10030</v>
      </c>
      <c r="AE41" s="28">
        <v>5989</v>
      </c>
      <c r="AF41" s="28">
        <v>16019</v>
      </c>
      <c r="AG41" s="28">
        <f t="shared" si="7"/>
        <v>5138</v>
      </c>
      <c r="AH41" s="29">
        <v>21157</v>
      </c>
      <c r="AI41" s="6"/>
      <c r="AJ41" s="27">
        <v>5391</v>
      </c>
      <c r="AK41" s="28">
        <v>5068</v>
      </c>
      <c r="AL41" s="28">
        <v>10459</v>
      </c>
      <c r="AM41" s="28">
        <v>5082</v>
      </c>
      <c r="AN41" s="28">
        <v>15541</v>
      </c>
      <c r="AO41" s="28">
        <v>4869</v>
      </c>
      <c r="AP41" s="29">
        <v>20410</v>
      </c>
      <c r="AQ41" s="6"/>
      <c r="AR41" s="27">
        <v>0</v>
      </c>
      <c r="AS41" s="28">
        <v>0</v>
      </c>
      <c r="AT41" s="36">
        <v>0</v>
      </c>
      <c r="AU41" s="28">
        <v>1117</v>
      </c>
      <c r="AV41" s="22">
        <v>1117</v>
      </c>
      <c r="AW41" s="28">
        <v>5486</v>
      </c>
      <c r="AX41" s="37">
        <v>6603</v>
      </c>
    </row>
    <row r="42" spans="1:50" s="163" customFormat="1" ht="15" customHeight="1" outlineLevel="1" x14ac:dyDescent="0.25">
      <c r="A42" s="6" t="s">
        <v>56</v>
      </c>
      <c r="B42" s="6"/>
      <c r="C42" s="6"/>
      <c r="D42" s="160">
        <v>134</v>
      </c>
      <c r="E42" s="409">
        <f t="shared" si="1"/>
        <v>-134</v>
      </c>
      <c r="F42" s="409"/>
      <c r="G42" s="409"/>
      <c r="H42" s="409"/>
      <c r="I42" s="409"/>
      <c r="J42" s="162"/>
      <c r="K42" s="6"/>
      <c r="L42" s="160">
        <v>119</v>
      </c>
      <c r="M42" s="161">
        <f t="shared" si="4"/>
        <v>135</v>
      </c>
      <c r="N42" s="161">
        <v>254</v>
      </c>
      <c r="O42" s="161">
        <f t="shared" si="4"/>
        <v>135</v>
      </c>
      <c r="P42" s="161">
        <v>389</v>
      </c>
      <c r="Q42" s="161">
        <f t="shared" si="4"/>
        <v>134</v>
      </c>
      <c r="R42" s="162">
        <v>523</v>
      </c>
      <c r="S42" s="6"/>
      <c r="T42" s="160">
        <v>121</v>
      </c>
      <c r="U42" s="161">
        <f t="shared" si="8"/>
        <v>121</v>
      </c>
      <c r="V42" s="161">
        <v>242</v>
      </c>
      <c r="W42" s="161">
        <f t="shared" si="5"/>
        <v>120</v>
      </c>
      <c r="X42" s="161">
        <v>362</v>
      </c>
      <c r="Y42" s="161">
        <f t="shared" si="5"/>
        <v>119</v>
      </c>
      <c r="Z42" s="162">
        <v>481</v>
      </c>
      <c r="AA42" s="6"/>
      <c r="AB42" s="160">
        <v>119</v>
      </c>
      <c r="AC42" s="161">
        <f t="shared" si="6"/>
        <v>118</v>
      </c>
      <c r="AD42" s="161">
        <v>237</v>
      </c>
      <c r="AE42" s="161">
        <v>124</v>
      </c>
      <c r="AF42" s="161">
        <v>361</v>
      </c>
      <c r="AG42" s="161">
        <f t="shared" si="7"/>
        <v>122</v>
      </c>
      <c r="AH42" s="162">
        <v>483</v>
      </c>
      <c r="AI42" s="35"/>
      <c r="AJ42" s="160">
        <v>125</v>
      </c>
      <c r="AK42" s="161">
        <v>122</v>
      </c>
      <c r="AL42" s="161">
        <v>247</v>
      </c>
      <c r="AM42" s="161">
        <v>121</v>
      </c>
      <c r="AN42" s="161">
        <v>368</v>
      </c>
      <c r="AO42" s="161">
        <v>120</v>
      </c>
      <c r="AP42" s="162">
        <v>488</v>
      </c>
      <c r="AQ42" s="35"/>
      <c r="AR42" s="160">
        <v>0</v>
      </c>
      <c r="AS42" s="161">
        <v>0</v>
      </c>
      <c r="AT42" s="192">
        <v>0</v>
      </c>
      <c r="AU42" s="161">
        <v>42</v>
      </c>
      <c r="AV42" s="161">
        <v>42</v>
      </c>
      <c r="AW42" s="161">
        <v>131</v>
      </c>
      <c r="AX42" s="193">
        <v>173</v>
      </c>
    </row>
    <row r="43" spans="1:50" s="14" customFormat="1" x14ac:dyDescent="0.25">
      <c r="A43" s="12" t="s">
        <v>57</v>
      </c>
      <c r="B43" s="12"/>
      <c r="C43" s="12"/>
      <c r="D43" s="25">
        <v>7156</v>
      </c>
      <c r="E43" s="406">
        <f t="shared" si="1"/>
        <v>-7156</v>
      </c>
      <c r="F43" s="406"/>
      <c r="G43" s="406"/>
      <c r="H43" s="406"/>
      <c r="I43" s="406"/>
      <c r="J43" s="21"/>
      <c r="K43" s="12"/>
      <c r="L43" s="25">
        <v>6180</v>
      </c>
      <c r="M43" s="20">
        <f t="shared" si="4"/>
        <v>13040</v>
      </c>
      <c r="N43" s="20">
        <v>19220</v>
      </c>
      <c r="O43" s="20">
        <f t="shared" si="4"/>
        <v>10615</v>
      </c>
      <c r="P43" s="20">
        <v>29835</v>
      </c>
      <c r="Q43" s="20">
        <f t="shared" si="4"/>
        <v>7859</v>
      </c>
      <c r="R43" s="21">
        <v>37694</v>
      </c>
      <c r="S43" s="12"/>
      <c r="T43" s="25">
        <v>4852</v>
      </c>
      <c r="U43" s="20">
        <f t="shared" si="8"/>
        <v>7688</v>
      </c>
      <c r="V43" s="20">
        <v>12540</v>
      </c>
      <c r="W43" s="20">
        <f t="shared" si="5"/>
        <v>11294</v>
      </c>
      <c r="X43" s="20">
        <v>23834</v>
      </c>
      <c r="Y43" s="20">
        <f t="shared" si="5"/>
        <v>9929</v>
      </c>
      <c r="Z43" s="21">
        <v>33763</v>
      </c>
      <c r="AA43" s="12"/>
      <c r="AB43" s="25">
        <v>3999</v>
      </c>
      <c r="AC43" s="20">
        <f t="shared" si="6"/>
        <v>7989</v>
      </c>
      <c r="AD43" s="20">
        <v>11988</v>
      </c>
      <c r="AE43" s="20">
        <v>9513</v>
      </c>
      <c r="AF43" s="20">
        <v>21501</v>
      </c>
      <c r="AG43" s="20">
        <f t="shared" si="7"/>
        <v>7096</v>
      </c>
      <c r="AH43" s="21">
        <v>28597</v>
      </c>
      <c r="AI43" s="12"/>
      <c r="AJ43" s="25">
        <v>3815</v>
      </c>
      <c r="AK43" s="20">
        <v>6631</v>
      </c>
      <c r="AL43" s="20">
        <v>10446</v>
      </c>
      <c r="AM43" s="20">
        <v>9811</v>
      </c>
      <c r="AN43" s="20">
        <v>20257</v>
      </c>
      <c r="AO43" s="20">
        <v>10945</v>
      </c>
      <c r="AP43" s="21">
        <v>31202</v>
      </c>
      <c r="AQ43" s="12"/>
      <c r="AR43" s="25">
        <v>0</v>
      </c>
      <c r="AS43" s="20">
        <v>0</v>
      </c>
      <c r="AT43" s="20">
        <v>0</v>
      </c>
      <c r="AU43" s="20">
        <v>2178</v>
      </c>
      <c r="AV43" s="20">
        <v>2178</v>
      </c>
      <c r="AW43" s="20">
        <v>7154</v>
      </c>
      <c r="AX43" s="21">
        <v>9332</v>
      </c>
    </row>
    <row r="44" spans="1:50" ht="15" customHeight="1" outlineLevel="1" x14ac:dyDescent="0.25">
      <c r="A44" s="6" t="s">
        <v>58</v>
      </c>
      <c r="B44" s="6"/>
      <c r="C44" s="6"/>
      <c r="D44" s="27">
        <v>0</v>
      </c>
      <c r="E44" s="408">
        <f t="shared" si="1"/>
        <v>0</v>
      </c>
      <c r="F44" s="408"/>
      <c r="G44" s="408"/>
      <c r="H44" s="408"/>
      <c r="I44" s="408"/>
      <c r="J44" s="29"/>
      <c r="K44" s="6"/>
      <c r="L44" s="27">
        <v>40</v>
      </c>
      <c r="M44" s="28">
        <f t="shared" si="4"/>
        <v>0</v>
      </c>
      <c r="N44" s="28">
        <v>40</v>
      </c>
      <c r="O44" s="28">
        <f t="shared" si="4"/>
        <v>13</v>
      </c>
      <c r="P44" s="28">
        <v>53</v>
      </c>
      <c r="Q44" s="28">
        <f t="shared" si="4"/>
        <v>377</v>
      </c>
      <c r="R44" s="29">
        <v>430</v>
      </c>
      <c r="S44" s="6"/>
      <c r="T44" s="27">
        <v>-42</v>
      </c>
      <c r="U44" s="28">
        <f t="shared" si="8"/>
        <v>-1</v>
      </c>
      <c r="V44" s="28">
        <v>-43</v>
      </c>
      <c r="W44" s="28">
        <f t="shared" si="5"/>
        <v>-13</v>
      </c>
      <c r="X44" s="28">
        <v>-56</v>
      </c>
      <c r="Y44" s="28">
        <f t="shared" si="5"/>
        <v>16</v>
      </c>
      <c r="Z44" s="29">
        <v>-40</v>
      </c>
      <c r="AA44" s="6"/>
      <c r="AB44" s="27">
        <v>-5</v>
      </c>
      <c r="AC44" s="28">
        <f t="shared" si="6"/>
        <v>312</v>
      </c>
      <c r="AD44" s="28">
        <v>307</v>
      </c>
      <c r="AE44" s="28">
        <v>68</v>
      </c>
      <c r="AF44" s="28">
        <v>375</v>
      </c>
      <c r="AG44" s="28">
        <f t="shared" si="7"/>
        <v>109</v>
      </c>
      <c r="AH44" s="29">
        <v>484</v>
      </c>
      <c r="AI44" s="6"/>
      <c r="AJ44" s="27">
        <v>112</v>
      </c>
      <c r="AK44" s="28">
        <v>27</v>
      </c>
      <c r="AL44" s="28">
        <v>139</v>
      </c>
      <c r="AM44" s="28">
        <v>135</v>
      </c>
      <c r="AN44" s="28">
        <v>274</v>
      </c>
      <c r="AO44" s="28">
        <v>6</v>
      </c>
      <c r="AP44" s="29">
        <v>280</v>
      </c>
      <c r="AQ44" s="6"/>
      <c r="AR44" s="27">
        <v>0</v>
      </c>
      <c r="AS44" s="28">
        <v>0</v>
      </c>
      <c r="AT44" s="36">
        <v>0</v>
      </c>
      <c r="AU44" s="28">
        <v>0</v>
      </c>
      <c r="AV44" s="22">
        <v>0</v>
      </c>
      <c r="AW44" s="28">
        <v>9</v>
      </c>
      <c r="AX44" s="37">
        <v>9</v>
      </c>
    </row>
    <row r="45" spans="1:50" ht="15" customHeight="1" outlineLevel="1" x14ac:dyDescent="0.25">
      <c r="A45" s="6" t="s">
        <v>59</v>
      </c>
      <c r="B45" s="6"/>
      <c r="C45" s="6"/>
      <c r="D45" s="27">
        <v>388</v>
      </c>
      <c r="E45" s="408">
        <f t="shared" si="1"/>
        <v>-388</v>
      </c>
      <c r="F45" s="408"/>
      <c r="G45" s="408"/>
      <c r="H45" s="408"/>
      <c r="I45" s="408"/>
      <c r="J45" s="29"/>
      <c r="K45" s="6"/>
      <c r="L45" s="27">
        <v>388</v>
      </c>
      <c r="M45" s="28">
        <f t="shared" si="4"/>
        <v>389</v>
      </c>
      <c r="N45" s="28">
        <v>777</v>
      </c>
      <c r="O45" s="28">
        <f t="shared" si="4"/>
        <v>388</v>
      </c>
      <c r="P45" s="28">
        <v>1165</v>
      </c>
      <c r="Q45" s="28">
        <f t="shared" si="4"/>
        <v>388</v>
      </c>
      <c r="R45" s="29">
        <v>1553</v>
      </c>
      <c r="S45" s="6"/>
      <c r="T45" s="27">
        <v>388</v>
      </c>
      <c r="U45" s="28">
        <f t="shared" si="8"/>
        <v>389</v>
      </c>
      <c r="V45" s="28">
        <v>777</v>
      </c>
      <c r="W45" s="28">
        <f t="shared" si="5"/>
        <v>389</v>
      </c>
      <c r="X45" s="28">
        <v>1166</v>
      </c>
      <c r="Y45" s="28">
        <f t="shared" si="5"/>
        <v>387</v>
      </c>
      <c r="Z45" s="29">
        <v>1553</v>
      </c>
      <c r="AA45" s="6"/>
      <c r="AB45" s="27">
        <v>270</v>
      </c>
      <c r="AC45" s="28">
        <f t="shared" si="6"/>
        <v>272</v>
      </c>
      <c r="AD45" s="28">
        <v>542</v>
      </c>
      <c r="AE45" s="28">
        <v>311</v>
      </c>
      <c r="AF45" s="28">
        <v>853</v>
      </c>
      <c r="AG45" s="28">
        <f t="shared" si="7"/>
        <v>387</v>
      </c>
      <c r="AH45" s="29">
        <v>1240</v>
      </c>
      <c r="AI45" s="6"/>
      <c r="AJ45" s="27">
        <v>365</v>
      </c>
      <c r="AK45" s="28">
        <v>231</v>
      </c>
      <c r="AL45" s="28">
        <v>596</v>
      </c>
      <c r="AM45" s="28">
        <v>281</v>
      </c>
      <c r="AN45" s="28">
        <v>877</v>
      </c>
      <c r="AO45" s="28">
        <v>268</v>
      </c>
      <c r="AP45" s="29">
        <v>1145</v>
      </c>
      <c r="AQ45" s="6"/>
      <c r="AR45" s="27">
        <v>0</v>
      </c>
      <c r="AS45" s="28">
        <v>0</v>
      </c>
      <c r="AT45" s="36">
        <v>0</v>
      </c>
      <c r="AU45" s="28">
        <v>0</v>
      </c>
      <c r="AV45" s="22">
        <v>0</v>
      </c>
      <c r="AW45" s="28">
        <v>424</v>
      </c>
      <c r="AX45" s="37">
        <v>424</v>
      </c>
    </row>
    <row r="46" spans="1:50" ht="15" customHeight="1" outlineLevel="1" x14ac:dyDescent="0.25">
      <c r="A46" s="6" t="s">
        <v>71</v>
      </c>
      <c r="B46" s="6"/>
      <c r="C46" s="6"/>
      <c r="D46" s="27">
        <v>0</v>
      </c>
      <c r="E46" s="408">
        <f t="shared" si="1"/>
        <v>0</v>
      </c>
      <c r="F46" s="408"/>
      <c r="G46" s="408"/>
      <c r="H46" s="408"/>
      <c r="I46" s="408"/>
      <c r="J46" s="29"/>
      <c r="K46" s="6"/>
      <c r="L46" s="27">
        <v>0</v>
      </c>
      <c r="M46" s="28">
        <f t="shared" si="4"/>
        <v>0</v>
      </c>
      <c r="N46" s="28">
        <v>0</v>
      </c>
      <c r="O46" s="28">
        <f t="shared" si="4"/>
        <v>0</v>
      </c>
      <c r="P46" s="28">
        <v>0</v>
      </c>
      <c r="Q46" s="28">
        <f t="shared" si="4"/>
        <v>0</v>
      </c>
      <c r="R46" s="29">
        <v>0</v>
      </c>
      <c r="S46" s="6"/>
      <c r="T46" s="27">
        <v>0</v>
      </c>
      <c r="U46" s="28">
        <f t="shared" si="8"/>
        <v>0</v>
      </c>
      <c r="V46" s="28">
        <v>0</v>
      </c>
      <c r="W46" s="28">
        <f t="shared" si="5"/>
        <v>0</v>
      </c>
      <c r="X46" s="28">
        <v>0</v>
      </c>
      <c r="Y46" s="28">
        <f t="shared" si="5"/>
        <v>0</v>
      </c>
      <c r="Z46" s="29">
        <v>0</v>
      </c>
      <c r="AA46" s="6"/>
      <c r="AB46" s="27">
        <v>0</v>
      </c>
      <c r="AC46" s="28">
        <f t="shared" si="6"/>
        <v>0</v>
      </c>
      <c r="AD46" s="28">
        <v>0</v>
      </c>
      <c r="AE46" s="28">
        <v>0</v>
      </c>
      <c r="AF46" s="28">
        <v>0</v>
      </c>
      <c r="AG46" s="28">
        <f t="shared" si="7"/>
        <v>3305</v>
      </c>
      <c r="AH46" s="29">
        <v>3305</v>
      </c>
      <c r="AI46" s="6"/>
      <c r="AJ46" s="27">
        <v>0</v>
      </c>
      <c r="AK46" s="28">
        <v>0</v>
      </c>
      <c r="AL46" s="28">
        <v>0</v>
      </c>
      <c r="AM46" s="28">
        <v>0</v>
      </c>
      <c r="AN46" s="28">
        <v>0</v>
      </c>
      <c r="AO46" s="28">
        <v>0</v>
      </c>
      <c r="AP46" s="29">
        <v>0</v>
      </c>
      <c r="AQ46" s="6"/>
      <c r="AR46" s="27">
        <v>0</v>
      </c>
      <c r="AS46" s="28">
        <v>0</v>
      </c>
      <c r="AT46" s="36">
        <v>0</v>
      </c>
      <c r="AU46" s="28">
        <v>0</v>
      </c>
      <c r="AV46" s="22">
        <v>0</v>
      </c>
      <c r="AW46" s="28">
        <v>0</v>
      </c>
      <c r="AX46" s="37">
        <v>0</v>
      </c>
    </row>
    <row r="47" spans="1:50" ht="15" customHeight="1" outlineLevel="1" x14ac:dyDescent="0.25">
      <c r="A47" s="6" t="s">
        <v>61</v>
      </c>
      <c r="B47" s="6"/>
      <c r="C47" s="6"/>
      <c r="D47" s="27">
        <v>0</v>
      </c>
      <c r="E47" s="408">
        <f t="shared" si="1"/>
        <v>0</v>
      </c>
      <c r="F47" s="408"/>
      <c r="G47" s="408"/>
      <c r="H47" s="408"/>
      <c r="I47" s="408"/>
      <c r="J47" s="29"/>
      <c r="K47" s="6"/>
      <c r="L47" s="27">
        <v>0</v>
      </c>
      <c r="M47" s="28">
        <f t="shared" si="4"/>
        <v>0</v>
      </c>
      <c r="N47" s="28">
        <v>0</v>
      </c>
      <c r="O47" s="28">
        <f t="shared" si="4"/>
        <v>0</v>
      </c>
      <c r="P47" s="28">
        <v>0</v>
      </c>
      <c r="Q47" s="28">
        <f t="shared" si="4"/>
        <v>0</v>
      </c>
      <c r="R47" s="29">
        <v>0</v>
      </c>
      <c r="S47" s="6"/>
      <c r="T47" s="27">
        <v>0</v>
      </c>
      <c r="U47" s="28">
        <f t="shared" si="8"/>
        <v>0</v>
      </c>
      <c r="V47" s="28">
        <v>0</v>
      </c>
      <c r="W47" s="28">
        <f t="shared" si="5"/>
        <v>0</v>
      </c>
      <c r="X47" s="28">
        <v>0</v>
      </c>
      <c r="Y47" s="28">
        <f t="shared" si="5"/>
        <v>0</v>
      </c>
      <c r="Z47" s="29">
        <v>0</v>
      </c>
      <c r="AA47" s="6"/>
      <c r="AB47" s="27">
        <v>0</v>
      </c>
      <c r="AC47" s="28">
        <f t="shared" si="6"/>
        <v>0</v>
      </c>
      <c r="AD47" s="28">
        <v>0</v>
      </c>
      <c r="AE47" s="28">
        <v>0</v>
      </c>
      <c r="AF47" s="28">
        <v>0</v>
      </c>
      <c r="AG47" s="28">
        <f t="shared" si="7"/>
        <v>0</v>
      </c>
      <c r="AH47" s="29">
        <v>0</v>
      </c>
      <c r="AI47" s="6"/>
      <c r="AJ47" s="27">
        <v>0</v>
      </c>
      <c r="AK47" s="28">
        <v>0</v>
      </c>
      <c r="AL47" s="28">
        <v>0</v>
      </c>
      <c r="AM47" s="28">
        <v>0</v>
      </c>
      <c r="AN47" s="28">
        <v>0</v>
      </c>
      <c r="AO47" s="28">
        <v>0</v>
      </c>
      <c r="AP47" s="29">
        <v>0</v>
      </c>
      <c r="AQ47" s="6"/>
      <c r="AR47" s="27">
        <v>0</v>
      </c>
      <c r="AS47" s="28">
        <v>0</v>
      </c>
      <c r="AT47" s="36">
        <v>0</v>
      </c>
      <c r="AU47" s="28">
        <v>0</v>
      </c>
      <c r="AV47" s="22">
        <v>0</v>
      </c>
      <c r="AW47" s="28">
        <v>0</v>
      </c>
      <c r="AX47" s="37">
        <v>0</v>
      </c>
    </row>
    <row r="48" spans="1:50" ht="15" customHeight="1" outlineLevel="1" x14ac:dyDescent="0.25">
      <c r="A48" s="6" t="s">
        <v>62</v>
      </c>
      <c r="B48" s="6"/>
      <c r="C48" s="6"/>
      <c r="D48" s="27">
        <v>366</v>
      </c>
      <c r="E48" s="408">
        <f t="shared" si="1"/>
        <v>-366</v>
      </c>
      <c r="F48" s="408"/>
      <c r="G48" s="408"/>
      <c r="H48" s="408"/>
      <c r="I48" s="408"/>
      <c r="J48" s="29"/>
      <c r="K48" s="6"/>
      <c r="L48" s="27">
        <v>0</v>
      </c>
      <c r="M48" s="28">
        <f t="shared" si="4"/>
        <v>158</v>
      </c>
      <c r="N48" s="28">
        <v>158</v>
      </c>
      <c r="O48" s="28">
        <f t="shared" si="4"/>
        <v>1286</v>
      </c>
      <c r="P48" s="28">
        <v>1444</v>
      </c>
      <c r="Q48" s="28">
        <f t="shared" si="4"/>
        <v>238</v>
      </c>
      <c r="R48" s="29">
        <v>1682</v>
      </c>
      <c r="S48" s="6"/>
      <c r="T48" s="27">
        <v>0</v>
      </c>
      <c r="U48" s="28">
        <f t="shared" si="8"/>
        <v>0</v>
      </c>
      <c r="V48" s="28">
        <v>0</v>
      </c>
      <c r="W48" s="28">
        <f t="shared" si="5"/>
        <v>0</v>
      </c>
      <c r="X48" s="28">
        <v>0</v>
      </c>
      <c r="Y48" s="28">
        <f t="shared" si="5"/>
        <v>0</v>
      </c>
      <c r="Z48" s="29">
        <v>0</v>
      </c>
      <c r="AA48" s="6"/>
      <c r="AB48" s="27">
        <v>0</v>
      </c>
      <c r="AC48" s="28">
        <f t="shared" si="6"/>
        <v>738</v>
      </c>
      <c r="AD48" s="28">
        <v>738</v>
      </c>
      <c r="AE48" s="28">
        <v>0</v>
      </c>
      <c r="AF48" s="28">
        <v>738</v>
      </c>
      <c r="AG48" s="28">
        <f t="shared" si="7"/>
        <v>0</v>
      </c>
      <c r="AH48" s="29">
        <v>738</v>
      </c>
      <c r="AI48" s="6"/>
      <c r="AJ48" s="27">
        <v>0</v>
      </c>
      <c r="AK48" s="28">
        <v>0</v>
      </c>
      <c r="AL48" s="28">
        <v>0</v>
      </c>
      <c r="AM48" s="28">
        <v>0</v>
      </c>
      <c r="AN48" s="28">
        <v>0</v>
      </c>
      <c r="AO48" s="28">
        <v>0</v>
      </c>
      <c r="AP48" s="29">
        <v>0</v>
      </c>
      <c r="AQ48" s="6"/>
      <c r="AR48" s="27">
        <v>0</v>
      </c>
      <c r="AS48" s="28">
        <v>0</v>
      </c>
      <c r="AT48" s="36">
        <v>0</v>
      </c>
      <c r="AU48" s="28">
        <v>1935</v>
      </c>
      <c r="AV48" s="22">
        <v>1935</v>
      </c>
      <c r="AW48" s="28">
        <v>48</v>
      </c>
      <c r="AX48" s="37">
        <v>1983</v>
      </c>
    </row>
    <row r="49" spans="1:50" ht="15" customHeight="1" outlineLevel="1" x14ac:dyDescent="0.25">
      <c r="A49" s="6" t="s">
        <v>63</v>
      </c>
      <c r="B49" s="6"/>
      <c r="C49" s="6"/>
      <c r="D49" s="27">
        <v>0</v>
      </c>
      <c r="E49" s="408">
        <f t="shared" si="1"/>
        <v>0</v>
      </c>
      <c r="F49" s="408"/>
      <c r="G49" s="408"/>
      <c r="H49" s="408"/>
      <c r="I49" s="408"/>
      <c r="J49" s="29"/>
      <c r="K49" s="6"/>
      <c r="L49" s="27">
        <v>0</v>
      </c>
      <c r="M49" s="28">
        <f t="shared" si="4"/>
        <v>0</v>
      </c>
      <c r="N49" s="28">
        <v>0</v>
      </c>
      <c r="O49" s="28">
        <f t="shared" si="4"/>
        <v>0</v>
      </c>
      <c r="P49" s="28">
        <v>0</v>
      </c>
      <c r="Q49" s="28">
        <f t="shared" si="4"/>
        <v>0</v>
      </c>
      <c r="R49" s="29">
        <v>0</v>
      </c>
      <c r="S49" s="6"/>
      <c r="T49" s="27">
        <v>0</v>
      </c>
      <c r="U49" s="28">
        <f t="shared" si="8"/>
        <v>0</v>
      </c>
      <c r="V49" s="28">
        <v>0</v>
      </c>
      <c r="W49" s="28">
        <f t="shared" si="5"/>
        <v>0</v>
      </c>
      <c r="X49" s="28">
        <v>0</v>
      </c>
      <c r="Y49" s="28">
        <f t="shared" si="5"/>
        <v>0</v>
      </c>
      <c r="Z49" s="29">
        <v>0</v>
      </c>
      <c r="AA49" s="6"/>
      <c r="AB49" s="27">
        <v>0</v>
      </c>
      <c r="AC49" s="28">
        <f t="shared" si="6"/>
        <v>0</v>
      </c>
      <c r="AD49" s="28">
        <v>0</v>
      </c>
      <c r="AE49" s="28">
        <v>0</v>
      </c>
      <c r="AF49" s="28">
        <v>0</v>
      </c>
      <c r="AG49" s="28">
        <f t="shared" si="7"/>
        <v>0</v>
      </c>
      <c r="AH49" s="29">
        <v>0</v>
      </c>
      <c r="AI49" s="6"/>
      <c r="AJ49" s="27">
        <v>0</v>
      </c>
      <c r="AK49" s="28">
        <v>0</v>
      </c>
      <c r="AL49" s="28">
        <v>0</v>
      </c>
      <c r="AM49" s="28">
        <v>0</v>
      </c>
      <c r="AN49" s="28">
        <v>0</v>
      </c>
      <c r="AO49" s="28">
        <v>0</v>
      </c>
      <c r="AP49" s="29">
        <v>0</v>
      </c>
      <c r="AQ49" s="6"/>
      <c r="AR49" s="27">
        <v>0</v>
      </c>
      <c r="AS49" s="28">
        <v>0</v>
      </c>
      <c r="AT49" s="36">
        <v>0</v>
      </c>
      <c r="AU49" s="28">
        <v>0</v>
      </c>
      <c r="AV49" s="22">
        <v>0</v>
      </c>
      <c r="AW49" s="28">
        <v>0</v>
      </c>
      <c r="AX49" s="37">
        <v>0</v>
      </c>
    </row>
    <row r="50" spans="1:50" ht="15" customHeight="1" outlineLevel="1" x14ac:dyDescent="0.25">
      <c r="A50" s="6" t="s">
        <v>76</v>
      </c>
      <c r="B50" s="6"/>
      <c r="C50" s="6"/>
      <c r="D50" s="27">
        <v>0</v>
      </c>
      <c r="E50" s="408">
        <f t="shared" si="1"/>
        <v>0</v>
      </c>
      <c r="F50" s="408"/>
      <c r="G50" s="408"/>
      <c r="H50" s="408"/>
      <c r="I50" s="408"/>
      <c r="J50" s="29"/>
      <c r="K50" s="6"/>
      <c r="L50" s="27">
        <v>0</v>
      </c>
      <c r="M50" s="28">
        <f t="shared" si="4"/>
        <v>0</v>
      </c>
      <c r="N50" s="28">
        <v>0</v>
      </c>
      <c r="O50" s="28">
        <f t="shared" si="4"/>
        <v>0</v>
      </c>
      <c r="P50" s="28">
        <v>0</v>
      </c>
      <c r="Q50" s="28">
        <f t="shared" si="4"/>
        <v>0</v>
      </c>
      <c r="R50" s="29">
        <v>0</v>
      </c>
      <c r="S50" s="6"/>
      <c r="T50" s="27">
        <v>0</v>
      </c>
      <c r="U50" s="28">
        <f t="shared" si="8"/>
        <v>0</v>
      </c>
      <c r="V50" s="28">
        <v>0</v>
      </c>
      <c r="W50" s="28">
        <f t="shared" si="5"/>
        <v>0</v>
      </c>
      <c r="X50" s="28">
        <v>0</v>
      </c>
      <c r="Y50" s="28">
        <f t="shared" si="5"/>
        <v>0</v>
      </c>
      <c r="Z50" s="29">
        <v>0</v>
      </c>
      <c r="AA50" s="6"/>
      <c r="AB50" s="27">
        <v>0</v>
      </c>
      <c r="AC50" s="28">
        <f t="shared" si="6"/>
        <v>0</v>
      </c>
      <c r="AD50" s="28">
        <v>0</v>
      </c>
      <c r="AE50" s="28">
        <v>0</v>
      </c>
      <c r="AF50" s="28">
        <v>0</v>
      </c>
      <c r="AG50" s="28">
        <f t="shared" si="7"/>
        <v>0</v>
      </c>
      <c r="AH50" s="29">
        <v>0</v>
      </c>
      <c r="AI50" s="6"/>
      <c r="AJ50" s="27">
        <v>625</v>
      </c>
      <c r="AK50" s="28">
        <v>625</v>
      </c>
      <c r="AL50" s="28">
        <v>1250</v>
      </c>
      <c r="AM50" s="28">
        <v>625</v>
      </c>
      <c r="AN50" s="28">
        <v>1875</v>
      </c>
      <c r="AO50" s="28">
        <v>0</v>
      </c>
      <c r="AP50" s="29">
        <v>1875</v>
      </c>
      <c r="AQ50" s="6"/>
      <c r="AR50" s="27">
        <v>0</v>
      </c>
      <c r="AS50" s="28">
        <v>0</v>
      </c>
      <c r="AT50" s="36">
        <v>0</v>
      </c>
      <c r="AU50" s="28">
        <v>0</v>
      </c>
      <c r="AV50" s="22">
        <v>0</v>
      </c>
      <c r="AW50" s="28">
        <v>625</v>
      </c>
      <c r="AX50" s="37">
        <v>625</v>
      </c>
    </row>
    <row r="51" spans="1:50" ht="15" customHeight="1" outlineLevel="1" x14ac:dyDescent="0.25">
      <c r="A51" s="6" t="s">
        <v>14</v>
      </c>
      <c r="B51" s="6"/>
      <c r="C51" s="6"/>
      <c r="D51" s="27">
        <v>125</v>
      </c>
      <c r="E51" s="408">
        <f t="shared" si="1"/>
        <v>-125</v>
      </c>
      <c r="F51" s="408"/>
      <c r="G51" s="408"/>
      <c r="H51" s="408"/>
      <c r="I51" s="408"/>
      <c r="J51" s="29"/>
      <c r="K51" s="6"/>
      <c r="L51" s="27">
        <v>125</v>
      </c>
      <c r="M51" s="28">
        <f t="shared" si="4"/>
        <v>125</v>
      </c>
      <c r="N51" s="28">
        <v>250</v>
      </c>
      <c r="O51" s="28">
        <f t="shared" si="4"/>
        <v>125</v>
      </c>
      <c r="P51" s="28">
        <v>375</v>
      </c>
      <c r="Q51" s="28">
        <f t="shared" si="4"/>
        <v>125</v>
      </c>
      <c r="R51" s="29">
        <v>500</v>
      </c>
      <c r="S51" s="6"/>
      <c r="T51" s="27">
        <v>125</v>
      </c>
      <c r="U51" s="28">
        <f t="shared" si="8"/>
        <v>125</v>
      </c>
      <c r="V51" s="28">
        <v>250</v>
      </c>
      <c r="W51" s="28">
        <f t="shared" si="5"/>
        <v>125</v>
      </c>
      <c r="X51" s="28">
        <v>375</v>
      </c>
      <c r="Y51" s="28">
        <f t="shared" si="5"/>
        <v>125</v>
      </c>
      <c r="Z51" s="29">
        <v>500</v>
      </c>
      <c r="AA51" s="6"/>
      <c r="AB51" s="27">
        <v>125</v>
      </c>
      <c r="AC51" s="28">
        <f t="shared" si="6"/>
        <v>125</v>
      </c>
      <c r="AD51" s="28">
        <v>250</v>
      </c>
      <c r="AE51" s="28">
        <v>125</v>
      </c>
      <c r="AF51" s="28">
        <v>375</v>
      </c>
      <c r="AG51" s="28">
        <f t="shared" si="7"/>
        <v>125</v>
      </c>
      <c r="AH51" s="29">
        <v>500</v>
      </c>
      <c r="AI51" s="6"/>
      <c r="AJ51" s="27">
        <v>125</v>
      </c>
      <c r="AK51" s="28">
        <v>125</v>
      </c>
      <c r="AL51" s="28">
        <v>250</v>
      </c>
      <c r="AM51" s="28">
        <v>125</v>
      </c>
      <c r="AN51" s="28">
        <v>375</v>
      </c>
      <c r="AO51" s="28">
        <v>125</v>
      </c>
      <c r="AP51" s="29">
        <v>500</v>
      </c>
      <c r="AQ51" s="6"/>
      <c r="AR51" s="27">
        <v>0</v>
      </c>
      <c r="AS51" s="28">
        <v>0</v>
      </c>
      <c r="AT51" s="36">
        <v>0</v>
      </c>
      <c r="AU51" s="28">
        <v>0</v>
      </c>
      <c r="AV51" s="22">
        <v>0</v>
      </c>
      <c r="AW51" s="28">
        <v>125</v>
      </c>
      <c r="AX51" s="37">
        <v>125</v>
      </c>
    </row>
    <row r="52" spans="1:50" ht="17.25" customHeight="1" outlineLevel="1" x14ac:dyDescent="0.4">
      <c r="A52" s="6" t="s">
        <v>34</v>
      </c>
      <c r="B52" s="6"/>
      <c r="C52" s="6"/>
      <c r="D52" s="31">
        <v>225</v>
      </c>
      <c r="E52" s="410">
        <f t="shared" si="1"/>
        <v>-225</v>
      </c>
      <c r="F52" s="410"/>
      <c r="G52" s="410"/>
      <c r="H52" s="410"/>
      <c r="I52" s="410"/>
      <c r="J52" s="33"/>
      <c r="K52" s="6"/>
      <c r="L52" s="31">
        <v>0</v>
      </c>
      <c r="M52" s="32">
        <f t="shared" si="4"/>
        <v>0</v>
      </c>
      <c r="N52" s="32">
        <v>0</v>
      </c>
      <c r="O52" s="32">
        <f t="shared" si="4"/>
        <v>0</v>
      </c>
      <c r="P52" s="32">
        <v>0</v>
      </c>
      <c r="Q52" s="32">
        <f t="shared" si="4"/>
        <v>0</v>
      </c>
      <c r="R52" s="33">
        <v>0</v>
      </c>
      <c r="S52" s="6"/>
      <c r="T52" s="31">
        <v>0</v>
      </c>
      <c r="U52" s="32">
        <f t="shared" si="8"/>
        <v>0</v>
      </c>
      <c r="V52" s="32">
        <v>0</v>
      </c>
      <c r="W52" s="32">
        <f t="shared" si="5"/>
        <v>0</v>
      </c>
      <c r="X52" s="32">
        <v>0</v>
      </c>
      <c r="Y52" s="32">
        <f t="shared" si="5"/>
        <v>0</v>
      </c>
      <c r="Z52" s="33">
        <v>0</v>
      </c>
      <c r="AA52" s="6"/>
      <c r="AB52" s="31">
        <v>0</v>
      </c>
      <c r="AC52" s="32">
        <f t="shared" si="6"/>
        <v>0</v>
      </c>
      <c r="AD52" s="32">
        <v>0</v>
      </c>
      <c r="AE52" s="32">
        <v>0</v>
      </c>
      <c r="AF52" s="32">
        <v>0</v>
      </c>
      <c r="AG52" s="32">
        <f t="shared" si="7"/>
        <v>0</v>
      </c>
      <c r="AH52" s="33">
        <v>0</v>
      </c>
      <c r="AI52" s="6"/>
      <c r="AJ52" s="31">
        <v>0</v>
      </c>
      <c r="AK52" s="32">
        <v>0</v>
      </c>
      <c r="AL52" s="32">
        <v>0</v>
      </c>
      <c r="AM52" s="32">
        <v>0</v>
      </c>
      <c r="AN52" s="32">
        <v>0</v>
      </c>
      <c r="AO52" s="32">
        <v>0</v>
      </c>
      <c r="AP52" s="33">
        <v>0</v>
      </c>
      <c r="AQ52" s="6"/>
      <c r="AR52" s="31">
        <v>0</v>
      </c>
      <c r="AS52" s="32">
        <v>0</v>
      </c>
      <c r="AT52" s="32">
        <v>0</v>
      </c>
      <c r="AU52" s="32">
        <v>0</v>
      </c>
      <c r="AV52" s="32">
        <v>0</v>
      </c>
      <c r="AW52" s="32">
        <v>0</v>
      </c>
      <c r="AX52" s="33">
        <v>0</v>
      </c>
    </row>
    <row r="53" spans="1:50" s="14" customFormat="1" x14ac:dyDescent="0.25">
      <c r="A53" s="12" t="s">
        <v>65</v>
      </c>
      <c r="B53" s="12"/>
      <c r="C53" s="12"/>
      <c r="D53" s="25">
        <v>8260</v>
      </c>
      <c r="E53" s="406">
        <f t="shared" si="1"/>
        <v>-8260</v>
      </c>
      <c r="F53" s="406"/>
      <c r="G53" s="406"/>
      <c r="H53" s="406"/>
      <c r="I53" s="406"/>
      <c r="J53" s="21"/>
      <c r="K53" s="12"/>
      <c r="L53" s="25">
        <v>6733</v>
      </c>
      <c r="M53" s="20">
        <f t="shared" si="4"/>
        <v>13712</v>
      </c>
      <c r="N53" s="20">
        <v>20445</v>
      </c>
      <c r="O53" s="20">
        <f t="shared" si="4"/>
        <v>12427</v>
      </c>
      <c r="P53" s="20">
        <v>32872</v>
      </c>
      <c r="Q53" s="20">
        <f t="shared" si="4"/>
        <v>8987</v>
      </c>
      <c r="R53" s="21">
        <v>41859</v>
      </c>
      <c r="S53" s="12"/>
      <c r="T53" s="25">
        <v>5323</v>
      </c>
      <c r="U53" s="20">
        <f t="shared" si="8"/>
        <v>8201</v>
      </c>
      <c r="V53" s="20">
        <v>13524</v>
      </c>
      <c r="W53" s="20">
        <f t="shared" si="5"/>
        <v>11795</v>
      </c>
      <c r="X53" s="20">
        <v>25319</v>
      </c>
      <c r="Y53" s="20">
        <f t="shared" si="5"/>
        <v>10457</v>
      </c>
      <c r="Z53" s="21">
        <v>35776</v>
      </c>
      <c r="AA53" s="12"/>
      <c r="AB53" s="25">
        <v>4389</v>
      </c>
      <c r="AC53" s="20">
        <f t="shared" si="6"/>
        <v>9436</v>
      </c>
      <c r="AD53" s="20">
        <v>13825</v>
      </c>
      <c r="AE53" s="20">
        <v>10017</v>
      </c>
      <c r="AF53" s="20">
        <v>23842</v>
      </c>
      <c r="AG53" s="20">
        <f t="shared" si="7"/>
        <v>11022</v>
      </c>
      <c r="AH53" s="21">
        <v>34864</v>
      </c>
      <c r="AI53" s="12"/>
      <c r="AJ53" s="25">
        <v>5042</v>
      </c>
      <c r="AK53" s="20">
        <v>7639</v>
      </c>
      <c r="AL53" s="20">
        <v>12681</v>
      </c>
      <c r="AM53" s="20">
        <v>10977</v>
      </c>
      <c r="AN53" s="20">
        <v>23658</v>
      </c>
      <c r="AO53" s="20">
        <v>11344</v>
      </c>
      <c r="AP53" s="21">
        <v>35002</v>
      </c>
      <c r="AQ53" s="12"/>
      <c r="AR53" s="25">
        <v>0</v>
      </c>
      <c r="AS53" s="20">
        <v>0</v>
      </c>
      <c r="AT53" s="39">
        <v>0</v>
      </c>
      <c r="AU53" s="20">
        <v>4113</v>
      </c>
      <c r="AV53" s="39">
        <v>4113</v>
      </c>
      <c r="AW53" s="20">
        <v>8385</v>
      </c>
      <c r="AX53" s="40">
        <v>12498</v>
      </c>
    </row>
    <row r="54" spans="1:50" x14ac:dyDescent="0.25">
      <c r="A54" s="6"/>
      <c r="B54" s="6"/>
      <c r="C54" s="6"/>
      <c r="D54" s="25"/>
      <c r="E54" s="406"/>
      <c r="F54" s="406"/>
      <c r="G54" s="406"/>
      <c r="H54" s="406"/>
      <c r="I54" s="406"/>
      <c r="J54" s="21"/>
      <c r="K54" s="6"/>
      <c r="L54" s="25"/>
      <c r="M54" s="20"/>
      <c r="N54" s="20"/>
      <c r="O54" s="20"/>
      <c r="P54" s="20"/>
      <c r="Q54" s="20"/>
      <c r="R54" s="21"/>
      <c r="S54" s="6"/>
      <c r="T54" s="25"/>
      <c r="U54" s="20"/>
      <c r="V54" s="20"/>
      <c r="W54" s="20"/>
      <c r="X54" s="20"/>
      <c r="Y54" s="20"/>
      <c r="Z54" s="21"/>
      <c r="AA54" s="6"/>
      <c r="AB54" s="25"/>
      <c r="AC54" s="20"/>
      <c r="AD54" s="20"/>
      <c r="AE54" s="20"/>
      <c r="AF54" s="20"/>
      <c r="AG54" s="20"/>
      <c r="AH54" s="21"/>
      <c r="AI54" s="6"/>
      <c r="AJ54" s="25"/>
      <c r="AK54" s="20"/>
      <c r="AL54" s="20"/>
      <c r="AM54" s="20"/>
      <c r="AN54" s="20"/>
      <c r="AO54" s="20"/>
      <c r="AP54" s="21"/>
      <c r="AQ54" s="6"/>
      <c r="AR54" s="25"/>
      <c r="AS54" s="30"/>
      <c r="AT54" s="30"/>
      <c r="AU54" s="30"/>
      <c r="AV54" s="30"/>
      <c r="AW54" s="30"/>
      <c r="AX54" s="41"/>
    </row>
    <row r="55" spans="1:50" x14ac:dyDescent="0.25">
      <c r="A55" s="6"/>
      <c r="B55" s="6"/>
      <c r="C55" s="6"/>
      <c r="D55" s="25"/>
      <c r="E55" s="406"/>
      <c r="F55" s="406"/>
      <c r="G55" s="406"/>
      <c r="H55" s="406"/>
      <c r="I55" s="406"/>
      <c r="J55" s="21"/>
      <c r="K55" s="6"/>
      <c r="L55" s="25"/>
      <c r="M55" s="20"/>
      <c r="N55" s="20"/>
      <c r="O55" s="20"/>
      <c r="P55" s="20"/>
      <c r="Q55" s="20"/>
      <c r="R55" s="21"/>
      <c r="S55" s="6"/>
      <c r="T55" s="25"/>
      <c r="U55" s="20"/>
      <c r="V55" s="20"/>
      <c r="W55" s="20"/>
      <c r="X55" s="20"/>
      <c r="Y55" s="20"/>
      <c r="Z55" s="21"/>
      <c r="AA55" s="6"/>
      <c r="AB55" s="25"/>
      <c r="AC55" s="20"/>
      <c r="AD55" s="20"/>
      <c r="AE55" s="20"/>
      <c r="AF55" s="20"/>
      <c r="AG55" s="20"/>
      <c r="AH55" s="21"/>
      <c r="AI55" s="6"/>
      <c r="AJ55" s="25"/>
      <c r="AK55" s="20"/>
      <c r="AL55" s="20"/>
      <c r="AM55" s="20"/>
      <c r="AN55" s="20"/>
      <c r="AO55" s="20"/>
      <c r="AP55" s="21"/>
      <c r="AQ55" s="6"/>
      <c r="AR55" s="25"/>
      <c r="AS55" s="30"/>
      <c r="AT55" s="30"/>
      <c r="AU55" s="30"/>
      <c r="AV55" s="30"/>
      <c r="AW55" s="30"/>
      <c r="AX55" s="41"/>
    </row>
    <row r="56" spans="1:50" s="14" customFormat="1" x14ac:dyDescent="0.25">
      <c r="A56" s="12" t="s">
        <v>25</v>
      </c>
      <c r="B56" s="12"/>
      <c r="C56" s="12"/>
      <c r="D56" s="25">
        <v>421281</v>
      </c>
      <c r="E56" s="406"/>
      <c r="F56" s="406"/>
      <c r="G56" s="406"/>
      <c r="H56" s="406"/>
      <c r="I56" s="406"/>
      <c r="J56" s="21"/>
      <c r="K56" s="12"/>
      <c r="L56" s="25">
        <v>357009</v>
      </c>
      <c r="M56" s="20">
        <v>395483</v>
      </c>
      <c r="N56" s="20"/>
      <c r="O56" s="20">
        <v>417490</v>
      </c>
      <c r="P56" s="20"/>
      <c r="Q56" s="20">
        <v>408783</v>
      </c>
      <c r="R56" s="21"/>
      <c r="S56" s="12"/>
      <c r="T56" s="25">
        <v>360177</v>
      </c>
      <c r="U56" s="20">
        <v>351190</v>
      </c>
      <c r="V56" s="20"/>
      <c r="W56" s="20">
        <v>352978</v>
      </c>
      <c r="X56" s="20"/>
      <c r="Y56" s="20">
        <v>354025</v>
      </c>
      <c r="Z56" s="21"/>
      <c r="AA56" s="12"/>
      <c r="AB56" s="25">
        <v>325641</v>
      </c>
      <c r="AC56" s="20">
        <v>358518</v>
      </c>
      <c r="AD56" s="20"/>
      <c r="AE56" s="20">
        <v>361566</v>
      </c>
      <c r="AF56" s="20"/>
      <c r="AG56" s="20">
        <v>356297</v>
      </c>
      <c r="AH56" s="21"/>
      <c r="AI56" s="12"/>
      <c r="AJ56" s="25">
        <v>345911</v>
      </c>
      <c r="AK56" s="20">
        <v>344934</v>
      </c>
      <c r="AL56" s="20"/>
      <c r="AM56" s="20">
        <v>343790</v>
      </c>
      <c r="AN56" s="20"/>
      <c r="AO56" s="20">
        <v>338212</v>
      </c>
      <c r="AP56" s="21"/>
      <c r="AQ56" s="12"/>
      <c r="AR56" s="25">
        <v>0</v>
      </c>
      <c r="AS56" s="39">
        <v>0</v>
      </c>
      <c r="AT56" s="39"/>
      <c r="AU56" s="39">
        <v>343266</v>
      </c>
      <c r="AV56" s="39"/>
      <c r="AW56" s="39">
        <v>365469</v>
      </c>
      <c r="AX56" s="40"/>
    </row>
    <row r="57" spans="1:50" s="14" customFormat="1" ht="7.5" customHeight="1" x14ac:dyDescent="0.25">
      <c r="A57" s="12"/>
      <c r="B57" s="12"/>
      <c r="C57" s="12"/>
      <c r="D57" s="25"/>
      <c r="E57" s="406"/>
      <c r="F57" s="406"/>
      <c r="G57" s="406"/>
      <c r="H57" s="406"/>
      <c r="I57" s="406"/>
      <c r="J57" s="21"/>
      <c r="K57" s="12"/>
      <c r="L57" s="25"/>
      <c r="M57" s="20"/>
      <c r="N57" s="20"/>
      <c r="O57" s="20"/>
      <c r="P57" s="20"/>
      <c r="Q57" s="20"/>
      <c r="R57" s="21"/>
      <c r="S57" s="12"/>
      <c r="T57" s="25"/>
      <c r="U57" s="20"/>
      <c r="V57" s="20"/>
      <c r="W57" s="20"/>
      <c r="X57" s="20"/>
      <c r="Y57" s="20"/>
      <c r="Z57" s="21"/>
      <c r="AA57" s="12"/>
      <c r="AB57" s="25"/>
      <c r="AC57" s="20"/>
      <c r="AD57" s="20"/>
      <c r="AE57" s="20"/>
      <c r="AF57" s="20"/>
      <c r="AG57" s="20"/>
      <c r="AH57" s="21"/>
      <c r="AI57" s="12"/>
      <c r="AJ57" s="25"/>
      <c r="AK57" s="20"/>
      <c r="AL57" s="20"/>
      <c r="AM57" s="20"/>
      <c r="AN57" s="20"/>
      <c r="AO57" s="20"/>
      <c r="AP57" s="21"/>
      <c r="AQ57" s="12"/>
      <c r="AR57" s="25"/>
      <c r="AS57" s="39"/>
      <c r="AT57" s="39"/>
      <c r="AU57" s="26"/>
      <c r="AV57" s="39"/>
      <c r="AW57" s="39"/>
      <c r="AX57" s="40"/>
    </row>
    <row r="58" spans="1:50" ht="15" customHeight="1" outlineLevel="1" x14ac:dyDescent="0.25">
      <c r="A58" s="6" t="s">
        <v>26</v>
      </c>
      <c r="B58" s="6"/>
      <c r="C58" s="6"/>
      <c r="D58" s="27">
        <v>217301</v>
      </c>
      <c r="E58" s="408"/>
      <c r="F58" s="408"/>
      <c r="G58" s="408"/>
      <c r="H58" s="408"/>
      <c r="I58" s="408"/>
      <c r="J58" s="29"/>
      <c r="K58" s="6"/>
      <c r="L58" s="27">
        <v>175791</v>
      </c>
      <c r="M58" s="28">
        <v>207490</v>
      </c>
      <c r="N58" s="28"/>
      <c r="O58" s="28">
        <v>219658</v>
      </c>
      <c r="P58" s="28"/>
      <c r="Q58" s="28">
        <v>209522</v>
      </c>
      <c r="R58" s="29"/>
      <c r="S58" s="6"/>
      <c r="T58" s="27">
        <v>180400</v>
      </c>
      <c r="U58" s="28">
        <v>172751</v>
      </c>
      <c r="V58" s="28"/>
      <c r="W58" s="28">
        <v>173899</v>
      </c>
      <c r="X58" s="28"/>
      <c r="Y58" s="28">
        <v>169677</v>
      </c>
      <c r="Z58" s="29"/>
      <c r="AA58" s="6"/>
      <c r="AB58" s="27">
        <v>144746</v>
      </c>
      <c r="AC58" s="28">
        <v>175093</v>
      </c>
      <c r="AD58" s="28"/>
      <c r="AE58" s="28">
        <v>174933</v>
      </c>
      <c r="AF58" s="28"/>
      <c r="AG58" s="28">
        <v>170631</v>
      </c>
      <c r="AH58" s="29"/>
      <c r="AI58" s="6"/>
      <c r="AJ58" s="27">
        <v>158296</v>
      </c>
      <c r="AK58" s="28">
        <v>153491</v>
      </c>
      <c r="AL58" s="28"/>
      <c r="AM58" s="28">
        <v>153748</v>
      </c>
      <c r="AN58" s="28"/>
      <c r="AO58" s="28">
        <v>143138</v>
      </c>
      <c r="AP58" s="29"/>
      <c r="AQ58" s="6"/>
      <c r="AR58" s="27">
        <v>0</v>
      </c>
      <c r="AS58" s="38">
        <v>0</v>
      </c>
      <c r="AT58" s="28"/>
      <c r="AU58" s="36">
        <v>142141</v>
      </c>
      <c r="AV58" s="28"/>
      <c r="AW58" s="38">
        <v>161273</v>
      </c>
      <c r="AX58" s="29"/>
    </row>
    <row r="59" spans="1:50" s="286" customFormat="1" ht="15" customHeight="1" outlineLevel="1" x14ac:dyDescent="0.25">
      <c r="A59" s="6" t="s">
        <v>28</v>
      </c>
      <c r="B59" s="284"/>
      <c r="C59" s="284"/>
      <c r="D59" s="160">
        <v>83580</v>
      </c>
      <c r="E59" s="409"/>
      <c r="F59" s="409"/>
      <c r="G59" s="409"/>
      <c r="H59" s="409"/>
      <c r="I59" s="409"/>
      <c r="J59" s="162"/>
      <c r="K59" s="284"/>
      <c r="L59" s="160">
        <v>61124</v>
      </c>
      <c r="M59" s="161">
        <v>65254</v>
      </c>
      <c r="N59" s="161"/>
      <c r="O59" s="161">
        <v>72417</v>
      </c>
      <c r="P59" s="161"/>
      <c r="Q59" s="161">
        <v>76540</v>
      </c>
      <c r="R59" s="162"/>
      <c r="S59" s="284"/>
      <c r="T59" s="160">
        <v>74618</v>
      </c>
      <c r="U59" s="161">
        <v>73583</v>
      </c>
      <c r="V59" s="161"/>
      <c r="W59" s="161">
        <v>72735</v>
      </c>
      <c r="X59" s="161"/>
      <c r="Y59" s="161">
        <v>62327</v>
      </c>
      <c r="Z59" s="162"/>
      <c r="AA59" s="284"/>
      <c r="AB59" s="160">
        <v>73910</v>
      </c>
      <c r="AC59" s="161">
        <v>76666</v>
      </c>
      <c r="AD59" s="161"/>
      <c r="AE59" s="161">
        <v>80249</v>
      </c>
      <c r="AF59" s="161"/>
      <c r="AG59" s="161">
        <v>78507</v>
      </c>
      <c r="AH59" s="162"/>
      <c r="AI59" s="284"/>
      <c r="AJ59" s="160">
        <v>82948</v>
      </c>
      <c r="AK59" s="161">
        <v>86262</v>
      </c>
      <c r="AL59" s="161"/>
      <c r="AM59" s="161">
        <v>83448</v>
      </c>
      <c r="AN59" s="161"/>
      <c r="AO59" s="161">
        <v>85998</v>
      </c>
      <c r="AP59" s="162"/>
      <c r="AQ59" s="284"/>
      <c r="AR59" s="160">
        <v>0</v>
      </c>
      <c r="AS59" s="192">
        <v>0</v>
      </c>
      <c r="AT59" s="161"/>
      <c r="AU59" s="285">
        <v>91685</v>
      </c>
      <c r="AV59" s="161"/>
      <c r="AW59" s="192">
        <v>95585</v>
      </c>
      <c r="AX59" s="162"/>
    </row>
    <row r="60" spans="1:50" s="14" customFormat="1" x14ac:dyDescent="0.25">
      <c r="A60" s="12" t="s">
        <v>29</v>
      </c>
      <c r="B60" s="12"/>
      <c r="C60" s="12"/>
      <c r="D60" s="25">
        <v>300881</v>
      </c>
      <c r="E60" s="406"/>
      <c r="F60" s="406"/>
      <c r="G60" s="406"/>
      <c r="H60" s="406"/>
      <c r="I60" s="406"/>
      <c r="J60" s="21"/>
      <c r="K60" s="12"/>
      <c r="L60" s="25">
        <v>236915</v>
      </c>
      <c r="M60" s="20">
        <v>272744</v>
      </c>
      <c r="N60" s="20"/>
      <c r="O60" s="20">
        <v>292075</v>
      </c>
      <c r="P60" s="20"/>
      <c r="Q60" s="20">
        <v>286062</v>
      </c>
      <c r="R60" s="21"/>
      <c r="S60" s="12"/>
      <c r="T60" s="25">
        <v>255018</v>
      </c>
      <c r="U60" s="20">
        <v>246334</v>
      </c>
      <c r="V60" s="20"/>
      <c r="W60" s="20">
        <v>246634</v>
      </c>
      <c r="X60" s="20"/>
      <c r="Y60" s="20">
        <v>232004</v>
      </c>
      <c r="Z60" s="21"/>
      <c r="AA60" s="12"/>
      <c r="AB60" s="25">
        <v>218656</v>
      </c>
      <c r="AC60" s="20">
        <v>251759</v>
      </c>
      <c r="AD60" s="20"/>
      <c r="AE60" s="20">
        <v>255182</v>
      </c>
      <c r="AF60" s="20"/>
      <c r="AG60" s="20">
        <v>249138</v>
      </c>
      <c r="AH60" s="21"/>
      <c r="AI60" s="12"/>
      <c r="AJ60" s="25">
        <v>241244</v>
      </c>
      <c r="AK60" s="20">
        <v>239753</v>
      </c>
      <c r="AL60" s="20"/>
      <c r="AM60" s="20">
        <v>237196</v>
      </c>
      <c r="AN60" s="20"/>
      <c r="AO60" s="20">
        <v>229136</v>
      </c>
      <c r="AP60" s="21"/>
      <c r="AQ60" s="12"/>
      <c r="AR60" s="25">
        <v>0</v>
      </c>
      <c r="AS60" s="39">
        <v>0</v>
      </c>
      <c r="AT60" s="20"/>
      <c r="AU60" s="39">
        <v>233826</v>
      </c>
      <c r="AV60" s="20"/>
      <c r="AW60" s="39">
        <v>256858</v>
      </c>
      <c r="AX60" s="21"/>
    </row>
    <row r="61" spans="1:50" s="14" customFormat="1" ht="6.75" customHeight="1" x14ac:dyDescent="0.25">
      <c r="A61" s="12"/>
      <c r="B61" s="12"/>
      <c r="C61" s="12"/>
      <c r="D61" s="25"/>
      <c r="E61" s="406"/>
      <c r="F61" s="406"/>
      <c r="G61" s="406"/>
      <c r="H61" s="406"/>
      <c r="I61" s="406"/>
      <c r="J61" s="21"/>
      <c r="K61" s="12"/>
      <c r="L61" s="25"/>
      <c r="M61" s="20"/>
      <c r="N61" s="20"/>
      <c r="O61" s="20"/>
      <c r="P61" s="20"/>
      <c r="Q61" s="20"/>
      <c r="R61" s="21"/>
      <c r="S61" s="12"/>
      <c r="T61" s="25"/>
      <c r="U61" s="20"/>
      <c r="V61" s="20"/>
      <c r="W61" s="20"/>
      <c r="X61" s="20"/>
      <c r="Y61" s="20"/>
      <c r="Z61" s="21"/>
      <c r="AA61" s="12"/>
      <c r="AB61" s="25"/>
      <c r="AC61" s="20"/>
      <c r="AD61" s="20"/>
      <c r="AE61" s="20"/>
      <c r="AF61" s="20"/>
      <c r="AG61" s="20"/>
      <c r="AH61" s="21"/>
      <c r="AI61" s="12"/>
      <c r="AJ61" s="25"/>
      <c r="AK61" s="20"/>
      <c r="AL61" s="20"/>
      <c r="AM61" s="20"/>
      <c r="AN61" s="20"/>
      <c r="AO61" s="20"/>
      <c r="AP61" s="21"/>
      <c r="AQ61" s="12"/>
      <c r="AR61" s="25"/>
      <c r="AS61" s="39"/>
      <c r="AT61" s="20"/>
      <c r="AU61" s="39"/>
      <c r="AV61" s="20"/>
      <c r="AW61" s="39"/>
      <c r="AX61" s="21"/>
    </row>
    <row r="62" spans="1:50" s="14" customFormat="1" x14ac:dyDescent="0.25">
      <c r="A62" s="12" t="s">
        <v>36</v>
      </c>
      <c r="B62" s="12"/>
      <c r="C62" s="12"/>
      <c r="D62" s="25">
        <v>120400</v>
      </c>
      <c r="E62" s="406"/>
      <c r="F62" s="406"/>
      <c r="G62" s="406"/>
      <c r="H62" s="406"/>
      <c r="I62" s="406"/>
      <c r="J62" s="21"/>
      <c r="K62" s="12"/>
      <c r="L62" s="25">
        <v>120094</v>
      </c>
      <c r="M62" s="20">
        <v>122739</v>
      </c>
      <c r="N62" s="20"/>
      <c r="O62" s="20">
        <v>125415</v>
      </c>
      <c r="P62" s="20"/>
      <c r="Q62" s="20">
        <v>122721</v>
      </c>
      <c r="R62" s="21"/>
      <c r="S62" s="12"/>
      <c r="T62" s="25">
        <v>105159</v>
      </c>
      <c r="U62" s="20">
        <v>104856</v>
      </c>
      <c r="V62" s="20"/>
      <c r="W62" s="20">
        <v>106344</v>
      </c>
      <c r="X62" s="20"/>
      <c r="Y62" s="20">
        <v>122021</v>
      </c>
      <c r="Z62" s="21"/>
      <c r="AA62" s="12"/>
      <c r="AB62" s="25">
        <v>106985</v>
      </c>
      <c r="AC62" s="20">
        <v>106759</v>
      </c>
      <c r="AD62" s="20"/>
      <c r="AE62" s="20">
        <v>106384</v>
      </c>
      <c r="AF62" s="20"/>
      <c r="AG62" s="20">
        <v>107159</v>
      </c>
      <c r="AH62" s="21"/>
      <c r="AI62" s="12"/>
      <c r="AJ62" s="25">
        <v>104667</v>
      </c>
      <c r="AK62" s="20">
        <v>105181</v>
      </c>
      <c r="AL62" s="20"/>
      <c r="AM62" s="20">
        <v>106594</v>
      </c>
      <c r="AN62" s="20"/>
      <c r="AO62" s="20">
        <v>109076</v>
      </c>
      <c r="AP62" s="21"/>
      <c r="AQ62" s="12"/>
      <c r="AR62" s="25">
        <v>0</v>
      </c>
      <c r="AS62" s="39">
        <v>0</v>
      </c>
      <c r="AT62" s="20"/>
      <c r="AU62" s="39">
        <v>109440</v>
      </c>
      <c r="AV62" s="20"/>
      <c r="AW62" s="39">
        <v>108611</v>
      </c>
      <c r="AX62" s="21"/>
    </row>
    <row r="63" spans="1:50" ht="7.5" customHeight="1" x14ac:dyDescent="0.25">
      <c r="A63" s="6"/>
      <c r="B63" s="6"/>
      <c r="C63" s="6"/>
      <c r="D63" s="25"/>
      <c r="E63" s="406"/>
      <c r="F63" s="406"/>
      <c r="G63" s="406"/>
      <c r="H63" s="406"/>
      <c r="I63" s="406"/>
      <c r="J63" s="21"/>
      <c r="K63" s="6"/>
      <c r="L63" s="25"/>
      <c r="M63" s="20"/>
      <c r="N63" s="20"/>
      <c r="O63" s="20"/>
      <c r="P63" s="20"/>
      <c r="Q63" s="20"/>
      <c r="R63" s="21"/>
      <c r="S63" s="6"/>
      <c r="T63" s="25"/>
      <c r="U63" s="20"/>
      <c r="V63" s="20"/>
      <c r="W63" s="20"/>
      <c r="X63" s="20"/>
      <c r="Y63" s="20"/>
      <c r="Z63" s="21"/>
      <c r="AA63" s="6"/>
      <c r="AB63" s="25"/>
      <c r="AC63" s="20"/>
      <c r="AD63" s="20"/>
      <c r="AE63" s="20"/>
      <c r="AF63" s="20"/>
      <c r="AG63" s="20"/>
      <c r="AH63" s="21"/>
      <c r="AI63" s="6"/>
      <c r="AJ63" s="25"/>
      <c r="AK63" s="20"/>
      <c r="AL63" s="20"/>
      <c r="AM63" s="20"/>
      <c r="AN63" s="20"/>
      <c r="AO63" s="20"/>
      <c r="AP63" s="21"/>
      <c r="AQ63" s="6"/>
      <c r="AR63" s="25"/>
      <c r="AS63" s="36"/>
      <c r="AT63" s="36"/>
      <c r="AU63" s="36"/>
      <c r="AV63" s="36"/>
      <c r="AW63" s="36"/>
      <c r="AX63" s="37"/>
    </row>
    <row r="64" spans="1:50" s="14" customFormat="1" x14ac:dyDescent="0.25">
      <c r="A64" s="12" t="s">
        <v>66</v>
      </c>
      <c r="B64" s="12"/>
      <c r="C64" s="12"/>
      <c r="D64" s="25">
        <v>1350</v>
      </c>
      <c r="E64" s="406"/>
      <c r="F64" s="406"/>
      <c r="G64" s="406"/>
      <c r="H64" s="406"/>
      <c r="I64" s="406"/>
      <c r="J64" s="21"/>
      <c r="K64" s="12"/>
      <c r="L64" s="25">
        <v>1257</v>
      </c>
      <c r="M64" s="103">
        <f>N64-L64</f>
        <v>2056</v>
      </c>
      <c r="N64" s="20">
        <v>3313</v>
      </c>
      <c r="O64" s="103">
        <f>P64-N64</f>
        <v>2685</v>
      </c>
      <c r="P64" s="20">
        <v>5998</v>
      </c>
      <c r="Q64" s="103">
        <f>R64-P64</f>
        <v>2025</v>
      </c>
      <c r="R64" s="21">
        <v>8023</v>
      </c>
      <c r="S64" s="12"/>
      <c r="T64" s="25">
        <v>1762</v>
      </c>
      <c r="U64" s="103">
        <f>V64-T64</f>
        <v>991</v>
      </c>
      <c r="V64" s="20">
        <v>2753</v>
      </c>
      <c r="W64" s="103">
        <f>X64-V64</f>
        <v>838</v>
      </c>
      <c r="X64" s="20">
        <v>3591</v>
      </c>
      <c r="Y64" s="103">
        <f>Z64-X64</f>
        <v>1698</v>
      </c>
      <c r="Z64" s="21">
        <v>5289</v>
      </c>
      <c r="AA64" s="12"/>
      <c r="AB64" s="25">
        <v>902</v>
      </c>
      <c r="AC64" s="20">
        <f>AD64-AB64</f>
        <v>2313</v>
      </c>
      <c r="AD64" s="20">
        <v>3215</v>
      </c>
      <c r="AE64" s="20">
        <f>AF64-AD64</f>
        <v>1289</v>
      </c>
      <c r="AF64" s="20">
        <v>4504</v>
      </c>
      <c r="AG64" s="20">
        <f>AH64-AF64</f>
        <v>1698</v>
      </c>
      <c r="AH64" s="21">
        <v>6202</v>
      </c>
      <c r="AI64" s="12"/>
      <c r="AJ64" s="25">
        <v>2090</v>
      </c>
      <c r="AK64" s="20">
        <f>AL64-AJ64</f>
        <v>1446</v>
      </c>
      <c r="AL64" s="20">
        <v>3536</v>
      </c>
      <c r="AM64" s="20">
        <f>AN64-AL64</f>
        <v>1790</v>
      </c>
      <c r="AN64" s="20">
        <v>5326</v>
      </c>
      <c r="AO64" s="20">
        <f>AP64-AN64</f>
        <v>969</v>
      </c>
      <c r="AP64" s="21">
        <v>6295</v>
      </c>
      <c r="AQ64" s="12"/>
      <c r="AR64" s="25">
        <v>0</v>
      </c>
      <c r="AS64" s="39">
        <v>0</v>
      </c>
      <c r="AT64" s="39">
        <v>0</v>
      </c>
      <c r="AU64" s="39">
        <f>AV64-AT64</f>
        <v>170</v>
      </c>
      <c r="AV64" s="39">
        <v>170</v>
      </c>
      <c r="AW64" s="39">
        <f>AX64-AV64</f>
        <v>1774</v>
      </c>
      <c r="AX64" s="40">
        <v>1944</v>
      </c>
    </row>
    <row r="65" spans="1:50" s="14" customFormat="1" ht="7.5" customHeight="1" x14ac:dyDescent="0.25">
      <c r="A65" s="12"/>
      <c r="B65" s="12"/>
      <c r="C65" s="12"/>
      <c r="D65" s="25"/>
      <c r="E65" s="406"/>
      <c r="F65" s="406"/>
      <c r="G65" s="406"/>
      <c r="H65" s="406"/>
      <c r="I65" s="406"/>
      <c r="J65" s="21"/>
      <c r="K65" s="12"/>
      <c r="L65" s="25"/>
      <c r="M65" s="20"/>
      <c r="N65" s="20"/>
      <c r="O65" s="20"/>
      <c r="P65" s="20"/>
      <c r="Q65" s="20"/>
      <c r="R65" s="21"/>
      <c r="S65" s="12"/>
      <c r="T65" s="25"/>
      <c r="U65" s="20"/>
      <c r="V65" s="20"/>
      <c r="W65" s="20"/>
      <c r="X65" s="20"/>
      <c r="Y65" s="20"/>
      <c r="Z65" s="21"/>
      <c r="AA65" s="12"/>
      <c r="AB65" s="25"/>
      <c r="AC65" s="20"/>
      <c r="AD65" s="20"/>
      <c r="AE65" s="20"/>
      <c r="AF65" s="20"/>
      <c r="AG65" s="20"/>
      <c r="AH65" s="21"/>
      <c r="AI65" s="12"/>
      <c r="AJ65" s="25"/>
      <c r="AK65" s="20"/>
      <c r="AL65" s="20"/>
      <c r="AM65" s="20"/>
      <c r="AN65" s="20"/>
      <c r="AO65" s="20"/>
      <c r="AP65" s="21"/>
      <c r="AQ65" s="12"/>
      <c r="AR65" s="25"/>
      <c r="AS65" s="39"/>
      <c r="AT65" s="39"/>
      <c r="AU65" s="26"/>
      <c r="AV65" s="39"/>
      <c r="AW65" s="39"/>
      <c r="AX65" s="40"/>
    </row>
    <row r="66" spans="1:50" s="14" customFormat="1" x14ac:dyDescent="0.25">
      <c r="A66" s="215" t="s">
        <v>67</v>
      </c>
      <c r="B66" s="215"/>
      <c r="C66" s="215"/>
      <c r="D66" s="25"/>
      <c r="E66" s="406"/>
      <c r="F66" s="406"/>
      <c r="G66" s="406"/>
      <c r="H66" s="406"/>
      <c r="I66" s="406"/>
      <c r="J66" s="21"/>
      <c r="K66" s="215"/>
      <c r="L66" s="25"/>
      <c r="M66" s="20"/>
      <c r="N66" s="20"/>
      <c r="O66" s="20"/>
      <c r="P66" s="20"/>
      <c r="Q66" s="20"/>
      <c r="R66" s="21"/>
      <c r="S66" s="215"/>
      <c r="T66" s="25"/>
      <c r="U66" s="20"/>
      <c r="V66" s="20"/>
      <c r="W66" s="20"/>
      <c r="X66" s="20"/>
      <c r="Y66" s="20"/>
      <c r="Z66" s="21"/>
      <c r="AA66" s="215"/>
      <c r="AB66" s="25"/>
      <c r="AC66" s="20"/>
      <c r="AD66" s="20"/>
      <c r="AE66" s="20"/>
      <c r="AF66" s="20"/>
      <c r="AG66" s="20"/>
      <c r="AH66" s="21"/>
      <c r="AI66" s="12"/>
      <c r="AJ66" s="25"/>
      <c r="AK66" s="20"/>
      <c r="AL66" s="20"/>
      <c r="AM66" s="20"/>
      <c r="AN66" s="20"/>
      <c r="AO66" s="20"/>
      <c r="AP66" s="21"/>
      <c r="AQ66" s="12"/>
      <c r="AR66" s="25"/>
      <c r="AS66" s="26"/>
      <c r="AT66" s="39"/>
      <c r="AU66" s="26"/>
      <c r="AV66" s="39"/>
      <c r="AW66" s="26"/>
      <c r="AX66" s="40"/>
    </row>
    <row r="67" spans="1:50" s="14" customFormat="1" x14ac:dyDescent="0.25">
      <c r="A67" s="12" t="s">
        <v>68</v>
      </c>
      <c r="B67" s="12"/>
      <c r="C67" s="12"/>
      <c r="D67" s="25"/>
      <c r="E67" s="406"/>
      <c r="F67" s="406"/>
      <c r="G67" s="406"/>
      <c r="H67" s="406"/>
      <c r="I67" s="406"/>
      <c r="J67" s="21"/>
      <c r="K67" s="12"/>
      <c r="L67" s="25"/>
      <c r="M67" s="20"/>
      <c r="N67" s="20"/>
      <c r="O67" s="20"/>
      <c r="P67" s="20"/>
      <c r="Q67" s="45">
        <v>0.97499999999999998</v>
      </c>
      <c r="R67" s="68"/>
      <c r="S67" s="12"/>
      <c r="T67" s="25"/>
      <c r="U67" s="20"/>
      <c r="V67" s="20"/>
      <c r="W67" s="20"/>
      <c r="X67" s="20"/>
      <c r="Y67" s="45">
        <v>0.97499999999999998</v>
      </c>
      <c r="Z67" s="68"/>
      <c r="AA67" s="12"/>
      <c r="AB67" s="25"/>
      <c r="AC67" s="20"/>
      <c r="AD67" s="20"/>
      <c r="AE67" s="20"/>
      <c r="AF67" s="20"/>
      <c r="AG67" s="45">
        <v>0.97499999999999998</v>
      </c>
      <c r="AH67" s="68"/>
      <c r="AI67" s="12"/>
      <c r="AJ67" s="25"/>
      <c r="AK67" s="20"/>
      <c r="AL67" s="20"/>
      <c r="AM67" s="20"/>
      <c r="AN67" s="20"/>
      <c r="AO67" s="45">
        <v>0.97499999999999998</v>
      </c>
      <c r="AP67" s="68"/>
      <c r="AQ67" s="12"/>
      <c r="AR67" s="25"/>
      <c r="AS67" s="39"/>
      <c r="AT67" s="46"/>
      <c r="AU67" s="26"/>
      <c r="AV67" s="46"/>
      <c r="AW67" s="47">
        <v>0.97899999999999998</v>
      </c>
      <c r="AX67" s="48"/>
    </row>
    <row r="68" spans="1:50" s="14" customFormat="1" ht="15.75" thickBot="1" x14ac:dyDescent="0.3">
      <c r="A68" s="12" t="s">
        <v>69</v>
      </c>
      <c r="B68" s="12"/>
      <c r="C68" s="12"/>
      <c r="D68" s="50"/>
      <c r="E68" s="51"/>
      <c r="F68" s="51"/>
      <c r="G68" s="51"/>
      <c r="H68" s="51"/>
      <c r="I68" s="51"/>
      <c r="J68" s="53"/>
      <c r="K68" s="12"/>
      <c r="L68" s="50"/>
      <c r="M68" s="51"/>
      <c r="N68" s="51"/>
      <c r="O68" s="51"/>
      <c r="P68" s="51"/>
      <c r="Q68" s="52">
        <v>0.79800000000000004</v>
      </c>
      <c r="R68" s="71"/>
      <c r="S68" s="12"/>
      <c r="T68" s="50"/>
      <c r="U68" s="51"/>
      <c r="V68" s="51"/>
      <c r="W68" s="51"/>
      <c r="X68" s="51"/>
      <c r="Y68" s="52">
        <v>0.79800000000000004</v>
      </c>
      <c r="Z68" s="71"/>
      <c r="AA68" s="54"/>
      <c r="AB68" s="50"/>
      <c r="AC68" s="51"/>
      <c r="AD68" s="51"/>
      <c r="AE68" s="51"/>
      <c r="AF68" s="51"/>
      <c r="AG68" s="52">
        <v>0.79800000000000004</v>
      </c>
      <c r="AH68" s="71"/>
      <c r="AI68" s="54"/>
      <c r="AJ68" s="50"/>
      <c r="AK68" s="51"/>
      <c r="AL68" s="51"/>
      <c r="AM68" s="51"/>
      <c r="AN68" s="51"/>
      <c r="AO68" s="52">
        <v>0.86199999999999999</v>
      </c>
      <c r="AP68" s="71"/>
      <c r="AQ68" s="54"/>
      <c r="AR68" s="50"/>
      <c r="AS68" s="55"/>
      <c r="AT68" s="56"/>
      <c r="AU68" s="57"/>
      <c r="AV68" s="56"/>
      <c r="AW68" s="58">
        <v>0.86199999999999999</v>
      </c>
      <c r="AX68" s="59"/>
    </row>
    <row r="69" spans="1:50" s="14" customFormat="1" x14ac:dyDescent="0.25">
      <c r="AJ69" s="61"/>
      <c r="AK69" s="61"/>
      <c r="AL69" s="62"/>
      <c r="AM69" s="62"/>
      <c r="AN69" s="62"/>
      <c r="AO69" s="62"/>
      <c r="AP69" s="62"/>
      <c r="AR69" s="63"/>
      <c r="AS69" s="64"/>
      <c r="AT69" s="64"/>
      <c r="AV69" s="64"/>
      <c r="AW69" s="64"/>
    </row>
    <row r="70" spans="1:50" hidden="1" outlineLevel="1" x14ac:dyDescent="0.25">
      <c r="A70" s="275" t="s">
        <v>37</v>
      </c>
      <c r="B70" s="276"/>
      <c r="C70" s="276"/>
      <c r="D70" s="276">
        <f t="shared" ref="D70:F70" si="9">D24-D25-D26</f>
        <v>0</v>
      </c>
      <c r="E70" s="276">
        <f t="shared" si="9"/>
        <v>0</v>
      </c>
      <c r="F70" s="276">
        <f t="shared" si="9"/>
        <v>0</v>
      </c>
      <c r="G70" s="276"/>
      <c r="H70" s="276"/>
      <c r="I70" s="276"/>
      <c r="J70" s="276"/>
      <c r="K70" s="276"/>
      <c r="L70" s="276">
        <f>L24-L25-L26</f>
        <v>0</v>
      </c>
      <c r="M70" s="276">
        <f>M24-M25-M26</f>
        <v>0</v>
      </c>
      <c r="N70" s="276">
        <f>N24-N25-N26</f>
        <v>0</v>
      </c>
      <c r="O70" s="276">
        <f t="shared" ref="O70:P70" si="10">O24-O25-O26</f>
        <v>0</v>
      </c>
      <c r="P70" s="276">
        <f t="shared" si="10"/>
        <v>0</v>
      </c>
      <c r="Q70" s="276">
        <f t="shared" ref="Q70:R70" si="11">Q24-Q25-Q26</f>
        <v>0</v>
      </c>
      <c r="R70" s="276">
        <f t="shared" si="11"/>
        <v>0</v>
      </c>
      <c r="T70" s="276">
        <f>T24-T25-T26</f>
        <v>0</v>
      </c>
      <c r="U70" s="276">
        <f t="shared" ref="U70:V70" si="12">U24-U25-U26</f>
        <v>0</v>
      </c>
      <c r="V70" s="276">
        <f t="shared" si="12"/>
        <v>0</v>
      </c>
      <c r="W70" s="276">
        <f t="shared" ref="W70:X70" si="13">W24-W25-W26</f>
        <v>0</v>
      </c>
      <c r="X70" s="276">
        <f t="shared" si="13"/>
        <v>0</v>
      </c>
      <c r="Y70" s="276">
        <f t="shared" ref="Y70:Z70" si="14">Y24-Y25-Y26</f>
        <v>0</v>
      </c>
      <c r="Z70" s="276">
        <f t="shared" si="14"/>
        <v>0</v>
      </c>
      <c r="AB70" s="276">
        <f>AB24-AB25-AB26</f>
        <v>0</v>
      </c>
      <c r="AC70" s="276">
        <f t="shared" ref="AC70:AH70" si="15">AC24-AC25-AC26</f>
        <v>0</v>
      </c>
      <c r="AD70" s="276">
        <f t="shared" si="15"/>
        <v>0</v>
      </c>
      <c r="AE70" s="276">
        <f t="shared" si="15"/>
        <v>0</v>
      </c>
      <c r="AF70" s="276">
        <f t="shared" si="15"/>
        <v>0</v>
      </c>
      <c r="AG70" s="276">
        <f t="shared" si="15"/>
        <v>0</v>
      </c>
      <c r="AH70" s="276">
        <f t="shared" si="15"/>
        <v>0</v>
      </c>
      <c r="AJ70" s="276">
        <f>AJ24-AJ25-AJ26</f>
        <v>0</v>
      </c>
      <c r="AK70" s="276">
        <f t="shared" ref="AK70:AP70" si="16">AK24-AK25-AK26</f>
        <v>0</v>
      </c>
      <c r="AL70" s="276">
        <f t="shared" si="16"/>
        <v>0</v>
      </c>
      <c r="AM70" s="276">
        <f t="shared" si="16"/>
        <v>0</v>
      </c>
      <c r="AN70" s="276">
        <f t="shared" si="16"/>
        <v>0</v>
      </c>
      <c r="AO70" s="276">
        <f t="shared" si="16"/>
        <v>0</v>
      </c>
      <c r="AP70" s="276">
        <f t="shared" si="16"/>
        <v>0</v>
      </c>
      <c r="AQ70" s="143"/>
      <c r="AR70" s="276">
        <f>AR24-AR25-AR26</f>
        <v>0</v>
      </c>
      <c r="AS70" s="276">
        <f t="shared" ref="AS70:AX70" si="17">AS24-AS25-AS26</f>
        <v>0</v>
      </c>
      <c r="AT70" s="276">
        <f t="shared" si="17"/>
        <v>0</v>
      </c>
      <c r="AU70" s="276">
        <f t="shared" si="17"/>
        <v>0</v>
      </c>
      <c r="AV70" s="276">
        <f t="shared" si="17"/>
        <v>0</v>
      </c>
      <c r="AW70" s="276">
        <f t="shared" si="17"/>
        <v>0</v>
      </c>
      <c r="AX70" s="276">
        <f t="shared" si="17"/>
        <v>0</v>
      </c>
    </row>
    <row r="71" spans="1:50" s="95" customFormat="1" hidden="1" outlineLevel="1" x14ac:dyDescent="0.25">
      <c r="A71" s="277" t="s">
        <v>38</v>
      </c>
      <c r="B71" s="276"/>
      <c r="C71" s="276"/>
      <c r="D71" s="276">
        <f t="shared" ref="D71:E71" si="18">D26-SUM(D27:D30)-D31</f>
        <v>0</v>
      </c>
      <c r="E71" s="276">
        <f t="shared" si="18"/>
        <v>0</v>
      </c>
      <c r="F71" s="276">
        <f>F26-SUM(F27:F30)-F31</f>
        <v>0</v>
      </c>
      <c r="G71" s="276"/>
      <c r="H71" s="276"/>
      <c r="I71" s="276"/>
      <c r="J71" s="276"/>
      <c r="K71" s="276"/>
      <c r="L71" s="276">
        <f>L26-SUM(L27:L30)-L31</f>
        <v>0</v>
      </c>
      <c r="M71" s="276">
        <f>M26-SUM(M27:M30)-M31</f>
        <v>0</v>
      </c>
      <c r="N71" s="276">
        <f>N26-SUM(N27:N30)-N31</f>
        <v>0</v>
      </c>
      <c r="O71" s="276">
        <f t="shared" ref="O71:P71" si="19">O26-SUM(O27:O30)-O31</f>
        <v>0</v>
      </c>
      <c r="P71" s="276">
        <f t="shared" si="19"/>
        <v>0</v>
      </c>
      <c r="Q71" s="276">
        <f t="shared" ref="Q71:R71" si="20">Q26-SUM(Q27:Q30)-Q31</f>
        <v>0</v>
      </c>
      <c r="R71" s="276">
        <f t="shared" si="20"/>
        <v>0</v>
      </c>
      <c r="S71" s="4"/>
      <c r="T71" s="276">
        <f>T26-SUM(T27:T30)-T31</f>
        <v>0</v>
      </c>
      <c r="U71" s="276">
        <f t="shared" ref="U71:V71" si="21">U26-SUM(U27:U30)-U31</f>
        <v>0</v>
      </c>
      <c r="V71" s="276">
        <f t="shared" si="21"/>
        <v>0</v>
      </c>
      <c r="W71" s="276">
        <f t="shared" ref="W71:X71" si="22">W26-SUM(W27:W30)-W31</f>
        <v>0</v>
      </c>
      <c r="X71" s="276">
        <f t="shared" si="22"/>
        <v>0</v>
      </c>
      <c r="Y71" s="276">
        <f t="shared" ref="Y71:Z71" si="23">Y26-SUM(Y27:Y30)-Y31</f>
        <v>0</v>
      </c>
      <c r="Z71" s="276">
        <f t="shared" si="23"/>
        <v>0</v>
      </c>
      <c r="AA71" s="4"/>
      <c r="AB71" s="276">
        <f>AB26-SUM(AB27:AB30)-AB31</f>
        <v>0</v>
      </c>
      <c r="AC71" s="276">
        <f t="shared" ref="AC71:AH71" si="24">AC26-SUM(AC27:AC30)-AC31</f>
        <v>0</v>
      </c>
      <c r="AD71" s="276">
        <f t="shared" si="24"/>
        <v>0</v>
      </c>
      <c r="AE71" s="276">
        <f t="shared" si="24"/>
        <v>0</v>
      </c>
      <c r="AF71" s="276">
        <f t="shared" si="24"/>
        <v>0</v>
      </c>
      <c r="AG71" s="276">
        <f t="shared" si="24"/>
        <v>0</v>
      </c>
      <c r="AH71" s="276">
        <f t="shared" si="24"/>
        <v>0</v>
      </c>
      <c r="AI71" s="4"/>
      <c r="AJ71" s="276">
        <f>AJ26-SUM(AJ27:AJ30)-AJ31</f>
        <v>0</v>
      </c>
      <c r="AK71" s="276">
        <f t="shared" ref="AK71:AP71" si="25">AK26-SUM(AK27:AK30)-AK31</f>
        <v>0</v>
      </c>
      <c r="AL71" s="276">
        <f t="shared" si="25"/>
        <v>0</v>
      </c>
      <c r="AM71" s="276">
        <f t="shared" si="25"/>
        <v>0</v>
      </c>
      <c r="AN71" s="276">
        <f t="shared" si="25"/>
        <v>0</v>
      </c>
      <c r="AO71" s="276">
        <f t="shared" si="25"/>
        <v>0</v>
      </c>
      <c r="AP71" s="276">
        <f t="shared" si="25"/>
        <v>0</v>
      </c>
      <c r="AQ71" s="143"/>
      <c r="AR71" s="276">
        <f>AR26-SUM(AR27:AR30)-AR31</f>
        <v>0</v>
      </c>
      <c r="AS71" s="276">
        <f t="shared" ref="AS71:AX71" si="26">AS26-SUM(AS27:AS30)-AS31</f>
        <v>0</v>
      </c>
      <c r="AT71" s="276">
        <f t="shared" si="26"/>
        <v>0</v>
      </c>
      <c r="AU71" s="276">
        <f t="shared" si="26"/>
        <v>0</v>
      </c>
      <c r="AV71" s="276">
        <f t="shared" si="26"/>
        <v>0</v>
      </c>
      <c r="AW71" s="276">
        <f t="shared" si="26"/>
        <v>0</v>
      </c>
      <c r="AX71" s="276">
        <f t="shared" si="26"/>
        <v>0</v>
      </c>
    </row>
    <row r="72" spans="1:50" hidden="1" outlineLevel="1" x14ac:dyDescent="0.25">
      <c r="A72" s="277" t="s">
        <v>24</v>
      </c>
      <c r="B72" s="276"/>
      <c r="C72" s="276"/>
      <c r="D72" s="276">
        <f t="shared" ref="D72:E72" si="27">D31-SUM(D32:D35)-D36</f>
        <v>0</v>
      </c>
      <c r="E72" s="276">
        <f t="shared" si="27"/>
        <v>0</v>
      </c>
      <c r="F72" s="276">
        <f>F31-SUM(F32:F35)-F36</f>
        <v>0</v>
      </c>
      <c r="G72" s="276"/>
      <c r="H72" s="276"/>
      <c r="I72" s="276"/>
      <c r="J72" s="276"/>
      <c r="K72" s="276"/>
      <c r="L72" s="276">
        <f>L31-SUM(L32:L35)-L36</f>
        <v>0</v>
      </c>
      <c r="M72" s="276">
        <f>M31-SUM(M32:M35)-M36</f>
        <v>0</v>
      </c>
      <c r="N72" s="276">
        <f>N31-SUM(N32:N35)-N36</f>
        <v>0</v>
      </c>
      <c r="O72" s="276">
        <f>O31-SUM(O32:O35)-O36</f>
        <v>0</v>
      </c>
      <c r="P72" s="276">
        <f t="shared" ref="P72:R72" si="28">P31-SUM(P32:P35)-P36</f>
        <v>0</v>
      </c>
      <c r="Q72" s="276">
        <f t="shared" si="28"/>
        <v>0</v>
      </c>
      <c r="R72" s="276">
        <f t="shared" si="28"/>
        <v>0</v>
      </c>
      <c r="T72" s="276">
        <f>T31-SUM(T32:T35)-T36</f>
        <v>0</v>
      </c>
      <c r="U72" s="276">
        <f t="shared" ref="U72:V72" si="29">U31-SUM(U32:U35)-U36</f>
        <v>0</v>
      </c>
      <c r="V72" s="276">
        <f t="shared" si="29"/>
        <v>0</v>
      </c>
      <c r="W72" s="276">
        <f t="shared" ref="W72:X72" si="30">W31-SUM(W32:W35)-W36</f>
        <v>0</v>
      </c>
      <c r="X72" s="276">
        <f t="shared" si="30"/>
        <v>0</v>
      </c>
      <c r="Y72" s="276">
        <f t="shared" ref="Y72:Z72" si="31">Y31-SUM(Y32:Y35)-Y36</f>
        <v>0</v>
      </c>
      <c r="Z72" s="276">
        <f t="shared" si="31"/>
        <v>0</v>
      </c>
      <c r="AB72" s="276">
        <f>AB31-SUM(AB32:AB35)-AB36</f>
        <v>0</v>
      </c>
      <c r="AC72" s="276">
        <f t="shared" ref="AC72:AH72" si="32">AC31-SUM(AC32:AC35)-AC36</f>
        <v>0</v>
      </c>
      <c r="AD72" s="276">
        <f t="shared" si="32"/>
        <v>0</v>
      </c>
      <c r="AE72" s="276">
        <f t="shared" si="32"/>
        <v>0</v>
      </c>
      <c r="AF72" s="276">
        <f t="shared" si="32"/>
        <v>0</v>
      </c>
      <c r="AG72" s="276">
        <f t="shared" si="32"/>
        <v>0</v>
      </c>
      <c r="AH72" s="276">
        <f t="shared" si="32"/>
        <v>0</v>
      </c>
      <c r="AJ72" s="276">
        <f>AJ31-SUM(AJ32:AJ35)-AJ36</f>
        <v>0</v>
      </c>
      <c r="AK72" s="276">
        <f t="shared" ref="AK72:AP72" si="33">AK31-SUM(AK32:AK35)-AK36</f>
        <v>0</v>
      </c>
      <c r="AL72" s="276">
        <f t="shared" si="33"/>
        <v>0</v>
      </c>
      <c r="AM72" s="276">
        <f t="shared" si="33"/>
        <v>0</v>
      </c>
      <c r="AN72" s="276">
        <f t="shared" si="33"/>
        <v>0</v>
      </c>
      <c r="AO72" s="276">
        <f t="shared" si="33"/>
        <v>0</v>
      </c>
      <c r="AP72" s="276">
        <f t="shared" si="33"/>
        <v>0</v>
      </c>
      <c r="AQ72" s="143"/>
      <c r="AR72" s="276">
        <f>AR31-SUM(AR32:AR35)-AR36</f>
        <v>0</v>
      </c>
      <c r="AS72" s="276">
        <f t="shared" ref="AS72:AX72" si="34">AS31-SUM(AS32:AS35)-AS36</f>
        <v>0</v>
      </c>
      <c r="AT72" s="276">
        <f t="shared" si="34"/>
        <v>0</v>
      </c>
      <c r="AU72" s="276">
        <f t="shared" si="34"/>
        <v>0</v>
      </c>
      <c r="AV72" s="276">
        <f t="shared" si="34"/>
        <v>0</v>
      </c>
      <c r="AW72" s="276">
        <f t="shared" si="34"/>
        <v>0</v>
      </c>
      <c r="AX72" s="276">
        <f t="shared" si="34"/>
        <v>0</v>
      </c>
    </row>
    <row r="73" spans="1:50" collapsed="1" x14ac:dyDescent="0.25"/>
  </sheetData>
  <mergeCells count="6">
    <mergeCell ref="D21:J21"/>
    <mergeCell ref="AB21:AH21"/>
    <mergeCell ref="AJ21:AP21"/>
    <mergeCell ref="AR21:AX21"/>
    <mergeCell ref="T21:Z21"/>
    <mergeCell ref="L21:R21"/>
  </mergeCells>
  <pageMargins left="0.7" right="0.7" top="0.75" bottom="0.75" header="0.3" footer="0.3"/>
  <pageSetup scale="1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AJ74"/>
  <sheetViews>
    <sheetView workbookViewId="0"/>
  </sheetViews>
  <sheetFormatPr defaultColWidth="9.140625" defaultRowHeight="15" outlineLevelRow="1" outlineLevelCol="1" x14ac:dyDescent="0.25"/>
  <cols>
    <col min="1" max="1" width="53.28515625" style="274" customWidth="1"/>
    <col min="2" max="2" width="9" style="274" customWidth="1"/>
    <col min="3" max="3" width="2.7109375" style="274" customWidth="1"/>
    <col min="4" max="4" width="9" style="274" customWidth="1"/>
    <col min="5" max="5" width="1.7109375" style="274" customWidth="1"/>
    <col min="6" max="12" width="9" style="274" customWidth="1"/>
    <col min="13" max="13" width="1.7109375" style="274" customWidth="1"/>
    <col min="14" max="20" width="9" style="274" customWidth="1"/>
    <col min="21" max="21" width="2.42578125" style="274" customWidth="1"/>
    <col min="22" max="23" width="9" style="274" customWidth="1"/>
    <col min="24" max="24" width="8" style="274" hidden="1" customWidth="1" outlineLevel="1"/>
    <col min="25" max="25" width="9.140625" style="274" collapsed="1"/>
    <col min="26" max="26" width="9.28515625" style="274" hidden="1" customWidth="1" outlineLevel="1"/>
    <col min="27" max="27" width="9.28515625" style="274" customWidth="1" collapsed="1"/>
    <col min="28" max="28" width="9.28515625" style="274" customWidth="1"/>
    <col min="29" max="29" width="2.42578125" style="274" customWidth="1"/>
    <col min="30" max="31" width="9.140625" style="274"/>
    <col min="32" max="32" width="9.140625" style="274" hidden="1" customWidth="1" outlineLevel="1"/>
    <col min="33" max="33" width="9.140625" style="274" collapsed="1"/>
    <col min="34" max="34" width="9.140625" style="274" hidden="1" customWidth="1" outlineLevel="1"/>
    <col min="35" max="35" width="9.140625" style="274" collapsed="1"/>
    <col min="36" max="16384" width="9.140625" style="274"/>
  </cols>
  <sheetData>
    <row r="1" spans="1:24" x14ac:dyDescent="0.25">
      <c r="A1" s="355" t="s">
        <v>84</v>
      </c>
      <c r="B1" s="301">
        <v>102.7</v>
      </c>
      <c r="C1" s="327"/>
      <c r="D1" s="327"/>
      <c r="E1" s="327"/>
      <c r="F1" s="327"/>
      <c r="G1" s="327"/>
      <c r="H1" s="327"/>
      <c r="I1" s="327"/>
      <c r="J1" s="327"/>
      <c r="K1" s="327"/>
      <c r="L1" s="327"/>
      <c r="M1" s="327"/>
      <c r="N1" s="327"/>
      <c r="O1" s="327"/>
      <c r="P1" s="327"/>
      <c r="Q1" s="327"/>
      <c r="R1" s="327"/>
      <c r="S1" s="327"/>
      <c r="T1" s="327"/>
      <c r="U1" s="327"/>
      <c r="V1" s="327"/>
      <c r="W1" s="314"/>
      <c r="X1" s="314"/>
    </row>
    <row r="2" spans="1:24" x14ac:dyDescent="0.25">
      <c r="A2" s="304" t="s">
        <v>42</v>
      </c>
      <c r="B2" s="303">
        <v>72.599999999999994</v>
      </c>
      <c r="C2" s="354"/>
      <c r="D2" s="354"/>
      <c r="E2" s="354"/>
      <c r="F2" s="328"/>
      <c r="G2" s="328"/>
      <c r="H2" s="328"/>
      <c r="I2" s="328"/>
      <c r="J2" s="328"/>
      <c r="K2" s="328"/>
      <c r="L2" s="328"/>
      <c r="M2" s="328"/>
      <c r="N2" s="328"/>
      <c r="O2" s="328"/>
      <c r="P2" s="328"/>
      <c r="Q2" s="328"/>
      <c r="R2" s="328"/>
      <c r="S2" s="328"/>
      <c r="T2" s="328"/>
      <c r="U2" s="328"/>
      <c r="V2" s="328"/>
    </row>
    <row r="3" spans="1:24" ht="15" customHeight="1" x14ac:dyDescent="0.25">
      <c r="A3" s="302" t="s">
        <v>43</v>
      </c>
      <c r="B3" s="303">
        <v>7.6</v>
      </c>
      <c r="C3" s="354"/>
      <c r="D3" s="354"/>
      <c r="E3" s="354"/>
      <c r="F3" s="328"/>
      <c r="G3" s="328"/>
      <c r="H3" s="328"/>
      <c r="I3" s="328"/>
      <c r="J3" s="328"/>
      <c r="K3" s="328"/>
      <c r="L3" s="328"/>
      <c r="M3" s="328"/>
      <c r="N3" s="328"/>
      <c r="O3" s="328"/>
      <c r="P3" s="328"/>
      <c r="Q3" s="328"/>
      <c r="R3" s="328"/>
      <c r="S3" s="328"/>
      <c r="T3" s="328"/>
      <c r="U3" s="328"/>
      <c r="V3" s="328"/>
      <c r="W3" s="333"/>
      <c r="X3" s="356"/>
    </row>
    <row r="4" spans="1:24" s="316" customFormat="1" ht="15" customHeight="1" x14ac:dyDescent="0.25">
      <c r="A4" s="304" t="s">
        <v>44</v>
      </c>
      <c r="B4" s="303">
        <v>22.5</v>
      </c>
      <c r="C4" s="354"/>
      <c r="D4" s="354"/>
      <c r="E4" s="354"/>
      <c r="F4" s="328"/>
      <c r="G4" s="328"/>
      <c r="H4" s="328"/>
      <c r="I4" s="328"/>
      <c r="J4" s="328"/>
      <c r="K4" s="328"/>
      <c r="L4" s="328"/>
      <c r="M4" s="328"/>
      <c r="N4" s="328"/>
      <c r="O4" s="328"/>
      <c r="P4" s="328"/>
      <c r="Q4" s="328"/>
      <c r="R4" s="328"/>
      <c r="S4" s="328"/>
      <c r="T4" s="328"/>
      <c r="U4" s="328"/>
      <c r="V4" s="328"/>
      <c r="W4" s="357"/>
      <c r="X4" s="356"/>
    </row>
    <row r="5" spans="1:24" s="316" customFormat="1" ht="15" customHeight="1" x14ac:dyDescent="0.25">
      <c r="A5" s="304"/>
      <c r="B5" s="303"/>
      <c r="C5" s="354"/>
      <c r="D5" s="354"/>
      <c r="E5" s="354"/>
      <c r="F5" s="328"/>
      <c r="G5" s="328"/>
      <c r="H5" s="328"/>
      <c r="I5" s="328"/>
      <c r="J5" s="328"/>
      <c r="K5" s="328"/>
      <c r="L5" s="328"/>
      <c r="M5" s="328"/>
      <c r="N5" s="328"/>
      <c r="O5" s="328"/>
      <c r="P5" s="328"/>
      <c r="Q5" s="328"/>
      <c r="R5" s="328"/>
      <c r="S5" s="328"/>
      <c r="T5" s="328"/>
      <c r="U5" s="328"/>
      <c r="V5" s="328"/>
      <c r="W5" s="357"/>
      <c r="X5" s="356"/>
    </row>
    <row r="6" spans="1:24" s="316" customFormat="1" x14ac:dyDescent="0.25">
      <c r="A6" s="302" t="s">
        <v>85</v>
      </c>
      <c r="B6" s="303">
        <v>24</v>
      </c>
      <c r="C6" s="354"/>
      <c r="D6" s="354"/>
      <c r="E6" s="354"/>
      <c r="F6" s="328"/>
      <c r="G6" s="328"/>
      <c r="H6" s="328"/>
      <c r="I6" s="328"/>
      <c r="J6" s="328"/>
      <c r="K6" s="328"/>
      <c r="L6" s="328"/>
      <c r="M6" s="328"/>
      <c r="N6" s="328"/>
      <c r="O6" s="328"/>
      <c r="P6" s="328"/>
      <c r="Q6" s="328"/>
      <c r="R6" s="328"/>
      <c r="S6" s="328"/>
      <c r="T6" s="328"/>
      <c r="U6" s="328"/>
      <c r="V6" s="328"/>
      <c r="W6" s="357"/>
      <c r="X6" s="356"/>
    </row>
    <row r="7" spans="1:24" x14ac:dyDescent="0.25">
      <c r="A7" s="358" t="s">
        <v>161</v>
      </c>
      <c r="B7" s="303">
        <v>6.8</v>
      </c>
      <c r="C7" s="354"/>
      <c r="D7" s="354"/>
      <c r="E7" s="354"/>
      <c r="F7" s="333"/>
      <c r="G7" s="333"/>
      <c r="H7" s="333"/>
      <c r="I7" s="333"/>
      <c r="J7" s="333"/>
      <c r="K7" s="333"/>
      <c r="L7" s="333"/>
      <c r="M7" s="333"/>
      <c r="N7" s="333"/>
      <c r="O7" s="333"/>
      <c r="P7" s="333"/>
      <c r="Q7" s="333"/>
      <c r="R7" s="333"/>
      <c r="S7" s="333"/>
      <c r="T7" s="333"/>
      <c r="U7" s="333"/>
      <c r="V7" s="333"/>
      <c r="W7" s="359"/>
      <c r="X7" s="359"/>
    </row>
    <row r="8" spans="1:24" x14ac:dyDescent="0.25">
      <c r="A8" s="358"/>
      <c r="B8" s="303"/>
      <c r="C8" s="354"/>
      <c r="D8" s="354"/>
      <c r="E8" s="354"/>
      <c r="F8" s="333"/>
      <c r="G8" s="333"/>
      <c r="H8" s="333"/>
      <c r="I8" s="333"/>
      <c r="J8" s="333"/>
      <c r="K8" s="333"/>
      <c r="L8" s="333"/>
      <c r="M8" s="333"/>
      <c r="N8" s="333"/>
      <c r="O8" s="333"/>
      <c r="P8" s="333"/>
      <c r="Q8" s="333"/>
      <c r="R8" s="333"/>
      <c r="S8" s="333"/>
      <c r="T8" s="333"/>
      <c r="U8" s="333"/>
      <c r="V8" s="333"/>
      <c r="W8" s="359"/>
      <c r="X8" s="359"/>
    </row>
    <row r="9" spans="1:24" x14ac:dyDescent="0.25">
      <c r="A9" s="304" t="s">
        <v>164</v>
      </c>
      <c r="B9" s="303">
        <v>171.5</v>
      </c>
      <c r="C9" s="354"/>
      <c r="D9" s="354"/>
      <c r="E9" s="354"/>
      <c r="F9" s="333"/>
      <c r="G9" s="333"/>
      <c r="H9" s="333"/>
      <c r="I9" s="333"/>
      <c r="J9" s="333"/>
      <c r="K9" s="333"/>
      <c r="L9" s="333"/>
      <c r="M9" s="333"/>
      <c r="N9" s="333"/>
      <c r="O9" s="333"/>
      <c r="P9" s="333"/>
      <c r="Q9" s="333"/>
      <c r="R9" s="333"/>
      <c r="S9" s="333"/>
      <c r="T9" s="333"/>
      <c r="U9" s="333"/>
      <c r="V9" s="333"/>
      <c r="W9" s="359"/>
      <c r="X9" s="359"/>
    </row>
    <row r="10" spans="1:24" x14ac:dyDescent="0.25">
      <c r="A10" s="304" t="s">
        <v>165</v>
      </c>
      <c r="B10" s="303">
        <v>48.2</v>
      </c>
      <c r="C10" s="354"/>
      <c r="D10" s="354"/>
      <c r="E10" s="354"/>
      <c r="F10" s="333"/>
      <c r="G10" s="333"/>
      <c r="H10" s="333"/>
      <c r="I10" s="333"/>
      <c r="J10" s="333"/>
      <c r="K10" s="333"/>
      <c r="L10" s="333"/>
      <c r="M10" s="333"/>
      <c r="N10" s="333"/>
      <c r="O10" s="333"/>
      <c r="P10" s="333"/>
      <c r="Q10" s="333"/>
      <c r="R10" s="333"/>
      <c r="S10" s="333"/>
      <c r="T10" s="333"/>
      <c r="U10" s="333"/>
      <c r="V10" s="333"/>
      <c r="W10" s="359"/>
      <c r="X10" s="359"/>
    </row>
    <row r="11" spans="1:24" x14ac:dyDescent="0.25">
      <c r="A11" s="304" t="s">
        <v>166</v>
      </c>
      <c r="B11" s="360">
        <f>B9+B10</f>
        <v>219.7</v>
      </c>
      <c r="C11" s="361"/>
      <c r="D11" s="361"/>
      <c r="E11" s="361"/>
      <c r="F11" s="333"/>
      <c r="G11" s="333"/>
      <c r="H11" s="333"/>
      <c r="I11" s="333"/>
      <c r="J11" s="333"/>
      <c r="K11" s="333"/>
      <c r="L11" s="333"/>
      <c r="M11" s="333"/>
      <c r="N11" s="333"/>
      <c r="O11" s="333"/>
      <c r="P11" s="333"/>
      <c r="Q11" s="333"/>
      <c r="R11" s="333"/>
      <c r="S11" s="333"/>
      <c r="T11" s="333"/>
      <c r="U11" s="333"/>
      <c r="V11" s="333"/>
      <c r="W11" s="359"/>
      <c r="X11" s="359"/>
    </row>
    <row r="12" spans="1:24" x14ac:dyDescent="0.25">
      <c r="A12" s="302" t="s">
        <v>119</v>
      </c>
      <c r="B12" s="303">
        <v>53.7</v>
      </c>
      <c r="C12" s="354"/>
      <c r="D12" s="354"/>
      <c r="E12" s="354"/>
      <c r="F12" s="333"/>
      <c r="G12" s="333"/>
      <c r="H12" s="333"/>
      <c r="I12" s="333"/>
      <c r="J12" s="333"/>
      <c r="K12" s="333"/>
      <c r="L12" s="333"/>
      <c r="M12" s="333"/>
      <c r="N12" s="333"/>
      <c r="O12" s="333"/>
      <c r="P12" s="333"/>
      <c r="Q12" s="333"/>
      <c r="R12" s="333"/>
      <c r="S12" s="333"/>
      <c r="T12" s="333"/>
      <c r="U12" s="333"/>
      <c r="V12" s="333"/>
      <c r="W12" s="359"/>
      <c r="X12" s="359"/>
    </row>
    <row r="13" spans="1:24" x14ac:dyDescent="0.25">
      <c r="A13" s="304" t="s">
        <v>120</v>
      </c>
      <c r="B13" s="303">
        <v>166</v>
      </c>
      <c r="C13" s="354"/>
      <c r="D13" s="354"/>
      <c r="E13" s="354"/>
      <c r="F13" s="333"/>
      <c r="G13" s="333"/>
      <c r="H13" s="333"/>
      <c r="I13" s="333"/>
      <c r="J13" s="333"/>
      <c r="K13" s="333"/>
      <c r="L13" s="333"/>
      <c r="M13" s="333"/>
      <c r="N13" s="333"/>
      <c r="O13" s="333"/>
      <c r="P13" s="333"/>
      <c r="Q13" s="333"/>
      <c r="R13" s="333"/>
      <c r="S13" s="333"/>
      <c r="T13" s="333"/>
      <c r="U13" s="333"/>
      <c r="V13" s="333"/>
      <c r="W13" s="359"/>
      <c r="X13" s="359"/>
    </row>
    <row r="14" spans="1:24" x14ac:dyDescent="0.25">
      <c r="A14" s="304"/>
      <c r="B14" s="303"/>
      <c r="C14" s="354"/>
      <c r="D14" s="354"/>
      <c r="E14" s="354"/>
      <c r="F14" s="333"/>
      <c r="G14" s="333"/>
      <c r="H14" s="333"/>
      <c r="I14" s="333"/>
      <c r="J14" s="333"/>
      <c r="K14" s="333"/>
      <c r="L14" s="333"/>
      <c r="M14" s="333"/>
      <c r="N14" s="333"/>
      <c r="O14" s="333"/>
      <c r="P14" s="333"/>
      <c r="Q14" s="333"/>
      <c r="R14" s="333"/>
      <c r="S14" s="333"/>
      <c r="T14" s="333"/>
      <c r="U14" s="333"/>
      <c r="V14" s="333"/>
      <c r="W14" s="359"/>
      <c r="X14" s="359"/>
    </row>
    <row r="15" spans="1:24" ht="15.75" thickBot="1" x14ac:dyDescent="0.3">
      <c r="A15" s="362" t="s">
        <v>116</v>
      </c>
      <c r="B15" s="363">
        <v>121.7</v>
      </c>
      <c r="C15" s="361"/>
      <c r="D15" s="361"/>
      <c r="E15" s="361"/>
      <c r="F15" s="333"/>
      <c r="G15" s="333"/>
      <c r="H15" s="333"/>
      <c r="I15" s="333"/>
      <c r="J15" s="333"/>
      <c r="K15" s="333"/>
      <c r="L15" s="333"/>
      <c r="M15" s="333"/>
      <c r="N15" s="333"/>
      <c r="O15" s="333"/>
      <c r="P15" s="333"/>
      <c r="Q15" s="333"/>
      <c r="R15" s="333"/>
      <c r="S15" s="333"/>
      <c r="T15" s="333"/>
      <c r="U15" s="333"/>
      <c r="V15" s="333"/>
      <c r="W15" s="359"/>
      <c r="X15" s="359"/>
    </row>
    <row r="17" spans="1:36" ht="15.75" thickBot="1" x14ac:dyDescent="0.3"/>
    <row r="18" spans="1:36" ht="15.75" thickBot="1" x14ac:dyDescent="0.3">
      <c r="A18" s="304"/>
      <c r="B18" s="333"/>
      <c r="C18" s="333"/>
      <c r="D18" s="364">
        <v>2019</v>
      </c>
      <c r="E18" s="333"/>
      <c r="F18" s="835">
        <v>2018</v>
      </c>
      <c r="G18" s="836"/>
      <c r="H18" s="836"/>
      <c r="I18" s="836"/>
      <c r="J18" s="836"/>
      <c r="K18" s="836"/>
      <c r="L18" s="837"/>
      <c r="M18" s="333"/>
      <c r="N18" s="835">
        <v>2017</v>
      </c>
      <c r="O18" s="836"/>
      <c r="P18" s="836"/>
      <c r="Q18" s="836"/>
      <c r="R18" s="836"/>
      <c r="S18" s="836"/>
      <c r="T18" s="837"/>
      <c r="U18" s="333"/>
      <c r="V18" s="835">
        <v>2016</v>
      </c>
      <c r="W18" s="836"/>
      <c r="X18" s="836"/>
      <c r="Y18" s="836"/>
      <c r="Z18" s="836"/>
      <c r="AA18" s="836"/>
      <c r="AB18" s="837"/>
      <c r="AD18" s="835">
        <v>2015</v>
      </c>
      <c r="AE18" s="836"/>
      <c r="AF18" s="836"/>
      <c r="AG18" s="836"/>
      <c r="AH18" s="836"/>
      <c r="AI18" s="836"/>
      <c r="AJ18" s="837"/>
    </row>
    <row r="19" spans="1:36" s="316" customFormat="1" x14ac:dyDescent="0.25">
      <c r="A19" s="304"/>
      <c r="B19" s="333"/>
      <c r="C19" s="333"/>
      <c r="D19" s="365" t="s">
        <v>3</v>
      </c>
      <c r="E19" s="333"/>
      <c r="F19" s="366" t="s">
        <v>3</v>
      </c>
      <c r="G19" s="356" t="s">
        <v>4</v>
      </c>
      <c r="H19" s="356" t="s">
        <v>5</v>
      </c>
      <c r="I19" s="356" t="s">
        <v>6</v>
      </c>
      <c r="J19" s="356" t="s">
        <v>7</v>
      </c>
      <c r="K19" s="356" t="s">
        <v>8</v>
      </c>
      <c r="L19" s="367" t="s">
        <v>9</v>
      </c>
      <c r="M19" s="333"/>
      <c r="N19" s="366" t="s">
        <v>3</v>
      </c>
      <c r="O19" s="356" t="s">
        <v>4</v>
      </c>
      <c r="P19" s="356" t="s">
        <v>5</v>
      </c>
      <c r="Q19" s="356" t="s">
        <v>6</v>
      </c>
      <c r="R19" s="356" t="s">
        <v>7</v>
      </c>
      <c r="S19" s="356" t="s">
        <v>8</v>
      </c>
      <c r="T19" s="367" t="s">
        <v>9</v>
      </c>
      <c r="U19" s="333"/>
      <c r="V19" s="366" t="s">
        <v>3</v>
      </c>
      <c r="W19" s="356" t="s">
        <v>4</v>
      </c>
      <c r="X19" s="356" t="s">
        <v>5</v>
      </c>
      <c r="Y19" s="356" t="s">
        <v>6</v>
      </c>
      <c r="Z19" s="356" t="s">
        <v>7</v>
      </c>
      <c r="AA19" s="356" t="s">
        <v>8</v>
      </c>
      <c r="AB19" s="367" t="s">
        <v>9</v>
      </c>
      <c r="AC19" s="274"/>
      <c r="AD19" s="366" t="s">
        <v>3</v>
      </c>
      <c r="AE19" s="356" t="s">
        <v>4</v>
      </c>
      <c r="AF19" s="356" t="s">
        <v>5</v>
      </c>
      <c r="AG19" s="356" t="s">
        <v>6</v>
      </c>
      <c r="AH19" s="356" t="s">
        <v>7</v>
      </c>
      <c r="AI19" s="356" t="s">
        <v>8</v>
      </c>
      <c r="AJ19" s="367" t="s">
        <v>9</v>
      </c>
    </row>
    <row r="20" spans="1:36" s="316" customFormat="1" x14ac:dyDescent="0.25">
      <c r="A20" s="274"/>
      <c r="B20" s="359"/>
      <c r="C20" s="359"/>
      <c r="D20" s="350"/>
      <c r="E20" s="359"/>
      <c r="F20" s="368"/>
      <c r="G20" s="359"/>
      <c r="H20" s="359"/>
      <c r="I20" s="359"/>
      <c r="J20" s="359"/>
      <c r="K20" s="359"/>
      <c r="L20" s="369"/>
      <c r="M20" s="359"/>
      <c r="N20" s="368"/>
      <c r="O20" s="359"/>
      <c r="P20" s="359"/>
      <c r="Q20" s="359"/>
      <c r="R20" s="359"/>
      <c r="S20" s="359"/>
      <c r="T20" s="369"/>
      <c r="U20" s="359"/>
      <c r="V20" s="368"/>
      <c r="W20" s="359"/>
      <c r="X20" s="359"/>
      <c r="Y20" s="359"/>
      <c r="Z20" s="359"/>
      <c r="AA20" s="359"/>
      <c r="AB20" s="369"/>
      <c r="AC20" s="274"/>
      <c r="AD20" s="368"/>
      <c r="AE20" s="359"/>
      <c r="AF20" s="359"/>
      <c r="AG20" s="359"/>
      <c r="AH20" s="359"/>
      <c r="AI20" s="359"/>
      <c r="AJ20" s="369"/>
    </row>
    <row r="21" spans="1:36" s="316" customFormat="1" x14ac:dyDescent="0.25">
      <c r="A21" s="316" t="s">
        <v>10</v>
      </c>
      <c r="B21" s="370"/>
      <c r="C21" s="370"/>
      <c r="D21" s="347">
        <v>10025</v>
      </c>
      <c r="E21" s="370"/>
      <c r="F21" s="371">
        <v>16342</v>
      </c>
      <c r="G21" s="370">
        <f>H21-F21</f>
        <v>19527</v>
      </c>
      <c r="H21" s="370">
        <v>35869</v>
      </c>
      <c r="I21" s="370">
        <f>J21-H21</f>
        <v>17300</v>
      </c>
      <c r="J21" s="370">
        <v>53169</v>
      </c>
      <c r="K21" s="370">
        <f>L21-J21</f>
        <v>14268</v>
      </c>
      <c r="L21" s="372">
        <v>67437</v>
      </c>
      <c r="M21" s="370"/>
      <c r="N21" s="371">
        <v>13128</v>
      </c>
      <c r="O21" s="370">
        <f>P21-N21</f>
        <v>15549</v>
      </c>
      <c r="P21" s="370">
        <v>28677</v>
      </c>
      <c r="Q21" s="370">
        <f>R21-P21</f>
        <v>13948</v>
      </c>
      <c r="R21" s="370">
        <v>42625</v>
      </c>
      <c r="S21" s="370">
        <f>T21-R21</f>
        <v>13074</v>
      </c>
      <c r="T21" s="372">
        <v>55699</v>
      </c>
      <c r="U21" s="370"/>
      <c r="V21" s="371">
        <v>13717</v>
      </c>
      <c r="W21" s="370">
        <f>X21-V21</f>
        <v>14684</v>
      </c>
      <c r="X21" s="370">
        <v>28401</v>
      </c>
      <c r="Y21" s="370">
        <v>15920</v>
      </c>
      <c r="Z21" s="370">
        <v>44321</v>
      </c>
      <c r="AA21" s="370">
        <f>AB21-Z21</f>
        <v>15002</v>
      </c>
      <c r="AB21" s="372">
        <v>59323</v>
      </c>
      <c r="AD21" s="371">
        <v>0</v>
      </c>
      <c r="AE21" s="370">
        <v>0</v>
      </c>
      <c r="AF21" s="370">
        <v>0</v>
      </c>
      <c r="AG21" s="370">
        <v>8856</v>
      </c>
      <c r="AH21" s="370">
        <v>8856</v>
      </c>
      <c r="AI21" s="370">
        <v>8567</v>
      </c>
      <c r="AJ21" s="372">
        <v>17423</v>
      </c>
    </row>
    <row r="22" spans="1:36" s="377" customFormat="1" ht="15" customHeight="1" x14ac:dyDescent="0.25">
      <c r="A22" s="316" t="s">
        <v>11</v>
      </c>
      <c r="B22" s="373"/>
      <c r="C22" s="373"/>
      <c r="D22" s="348">
        <v>5151</v>
      </c>
      <c r="E22" s="373"/>
      <c r="F22" s="374">
        <v>9396</v>
      </c>
      <c r="G22" s="373">
        <f t="shared" ref="G22:K50" si="0">H22-F22</f>
        <v>10025</v>
      </c>
      <c r="H22" s="373">
        <v>19421</v>
      </c>
      <c r="I22" s="373">
        <f t="shared" si="0"/>
        <v>10204</v>
      </c>
      <c r="J22" s="373">
        <v>29625</v>
      </c>
      <c r="K22" s="373">
        <f t="shared" si="0"/>
        <v>8935</v>
      </c>
      <c r="L22" s="375">
        <v>38560</v>
      </c>
      <c r="M22" s="373"/>
      <c r="N22" s="374">
        <v>6912</v>
      </c>
      <c r="O22" s="373">
        <f t="shared" ref="O22:S50" si="1">P22-N22</f>
        <v>8708</v>
      </c>
      <c r="P22" s="373">
        <v>15620</v>
      </c>
      <c r="Q22" s="373">
        <f t="shared" si="1"/>
        <v>7792</v>
      </c>
      <c r="R22" s="373">
        <v>23412</v>
      </c>
      <c r="S22" s="373">
        <f t="shared" si="1"/>
        <v>7186</v>
      </c>
      <c r="T22" s="375">
        <v>30598</v>
      </c>
      <c r="U22" s="373"/>
      <c r="V22" s="374">
        <v>6668</v>
      </c>
      <c r="W22" s="373">
        <f t="shared" ref="W22:W50" si="2">X22-V22</f>
        <v>8786</v>
      </c>
      <c r="X22" s="373">
        <v>15454</v>
      </c>
      <c r="Y22" s="373">
        <v>8988</v>
      </c>
      <c r="Z22" s="373">
        <v>24442</v>
      </c>
      <c r="AA22" s="373">
        <f t="shared" ref="AA22:AA50" si="3">AB22-Z22</f>
        <v>8376</v>
      </c>
      <c r="AB22" s="375">
        <v>32818</v>
      </c>
      <c r="AC22" s="376"/>
      <c r="AD22" s="374">
        <v>0</v>
      </c>
      <c r="AE22" s="373">
        <v>0</v>
      </c>
      <c r="AF22" s="373">
        <v>0</v>
      </c>
      <c r="AG22" s="373">
        <v>7251</v>
      </c>
      <c r="AH22" s="373">
        <v>7251</v>
      </c>
      <c r="AI22" s="373">
        <v>4677</v>
      </c>
      <c r="AJ22" s="375">
        <v>11928</v>
      </c>
    </row>
    <row r="23" spans="1:36" ht="15" customHeight="1" x14ac:dyDescent="0.25">
      <c r="A23" s="316" t="s">
        <v>12</v>
      </c>
      <c r="B23" s="370"/>
      <c r="C23" s="370"/>
      <c r="D23" s="347">
        <f>D21-D22</f>
        <v>4874</v>
      </c>
      <c r="E23" s="370"/>
      <c r="F23" s="371">
        <v>6946</v>
      </c>
      <c r="G23" s="370">
        <f t="shared" si="0"/>
        <v>9502</v>
      </c>
      <c r="H23" s="370">
        <v>16448</v>
      </c>
      <c r="I23" s="370">
        <f t="shared" si="0"/>
        <v>7096</v>
      </c>
      <c r="J23" s="370">
        <f>J21-J22</f>
        <v>23544</v>
      </c>
      <c r="K23" s="370">
        <f t="shared" si="0"/>
        <v>5333</v>
      </c>
      <c r="L23" s="372">
        <v>28877</v>
      </c>
      <c r="M23" s="370"/>
      <c r="N23" s="371">
        <v>6216</v>
      </c>
      <c r="O23" s="370">
        <f t="shared" si="1"/>
        <v>6841</v>
      </c>
      <c r="P23" s="370">
        <v>13057</v>
      </c>
      <c r="Q23" s="370">
        <f t="shared" si="1"/>
        <v>6156</v>
      </c>
      <c r="R23" s="370">
        <v>19213</v>
      </c>
      <c r="S23" s="370">
        <f t="shared" si="1"/>
        <v>5888</v>
      </c>
      <c r="T23" s="372">
        <v>25101</v>
      </c>
      <c r="U23" s="370"/>
      <c r="V23" s="371">
        <v>7049</v>
      </c>
      <c r="W23" s="370">
        <f t="shared" si="2"/>
        <v>5898</v>
      </c>
      <c r="X23" s="370">
        <v>12947</v>
      </c>
      <c r="Y23" s="370">
        <v>6932</v>
      </c>
      <c r="Z23" s="370">
        <v>19879</v>
      </c>
      <c r="AA23" s="370">
        <f t="shared" si="3"/>
        <v>6626</v>
      </c>
      <c r="AB23" s="372">
        <v>26505</v>
      </c>
      <c r="AC23" s="316"/>
      <c r="AD23" s="371">
        <v>0</v>
      </c>
      <c r="AE23" s="370">
        <v>0</v>
      </c>
      <c r="AF23" s="370">
        <v>0</v>
      </c>
      <c r="AG23" s="370">
        <v>1605</v>
      </c>
      <c r="AH23" s="370">
        <v>1605</v>
      </c>
      <c r="AI23" s="370">
        <v>3890</v>
      </c>
      <c r="AJ23" s="372">
        <v>5495</v>
      </c>
    </row>
    <row r="24" spans="1:36" ht="15" customHeight="1" outlineLevel="1" x14ac:dyDescent="0.25">
      <c r="A24" s="274" t="s">
        <v>13</v>
      </c>
      <c r="B24" s="378"/>
      <c r="C24" s="378"/>
      <c r="D24" s="349">
        <v>5192</v>
      </c>
      <c r="E24" s="378"/>
      <c r="F24" s="379">
        <v>6566</v>
      </c>
      <c r="G24" s="378">
        <f t="shared" si="0"/>
        <v>7191</v>
      </c>
      <c r="H24" s="378">
        <v>13757</v>
      </c>
      <c r="I24" s="378">
        <f t="shared" si="0"/>
        <v>6768</v>
      </c>
      <c r="J24" s="378">
        <v>20525</v>
      </c>
      <c r="K24" s="378">
        <f t="shared" si="0"/>
        <v>5216</v>
      </c>
      <c r="L24" s="380">
        <v>25741</v>
      </c>
      <c r="M24" s="378"/>
      <c r="N24" s="379">
        <v>4796</v>
      </c>
      <c r="O24" s="378">
        <f t="shared" si="1"/>
        <v>5641</v>
      </c>
      <c r="P24" s="378">
        <v>10437</v>
      </c>
      <c r="Q24" s="378">
        <f t="shared" si="1"/>
        <v>5065</v>
      </c>
      <c r="R24" s="378">
        <v>15502</v>
      </c>
      <c r="S24" s="378">
        <f t="shared" si="1"/>
        <v>5589</v>
      </c>
      <c r="T24" s="380">
        <v>21091</v>
      </c>
      <c r="U24" s="378"/>
      <c r="V24" s="379">
        <v>5745</v>
      </c>
      <c r="W24" s="378">
        <f t="shared" si="2"/>
        <v>6258</v>
      </c>
      <c r="X24" s="378">
        <v>12003</v>
      </c>
      <c r="Y24" s="378">
        <v>5071</v>
      </c>
      <c r="Z24" s="378">
        <v>17074</v>
      </c>
      <c r="AA24" s="378">
        <f t="shared" si="3"/>
        <v>4252</v>
      </c>
      <c r="AB24" s="380">
        <v>21326</v>
      </c>
      <c r="AD24" s="379">
        <v>0</v>
      </c>
      <c r="AE24" s="378">
        <v>0</v>
      </c>
      <c r="AF24" s="378">
        <v>0</v>
      </c>
      <c r="AG24" s="378">
        <v>4693</v>
      </c>
      <c r="AH24" s="378">
        <v>4693</v>
      </c>
      <c r="AI24" s="378">
        <v>5106</v>
      </c>
      <c r="AJ24" s="380">
        <v>9799</v>
      </c>
    </row>
    <row r="25" spans="1:36" s="317" customFormat="1" ht="15" customHeight="1" outlineLevel="1" x14ac:dyDescent="0.25">
      <c r="A25" s="274" t="s">
        <v>14</v>
      </c>
      <c r="B25" s="378"/>
      <c r="C25" s="378"/>
      <c r="D25" s="349">
        <v>60</v>
      </c>
      <c r="E25" s="378"/>
      <c r="F25" s="379">
        <v>87</v>
      </c>
      <c r="G25" s="378">
        <f t="shared" si="0"/>
        <v>88</v>
      </c>
      <c r="H25" s="378">
        <v>175</v>
      </c>
      <c r="I25" s="378">
        <f t="shared" si="0"/>
        <v>88</v>
      </c>
      <c r="J25" s="378">
        <v>263</v>
      </c>
      <c r="K25" s="378">
        <f t="shared" si="0"/>
        <v>87</v>
      </c>
      <c r="L25" s="380">
        <v>350</v>
      </c>
      <c r="M25" s="378"/>
      <c r="N25" s="379">
        <v>87</v>
      </c>
      <c r="O25" s="378">
        <f t="shared" si="1"/>
        <v>88</v>
      </c>
      <c r="P25" s="378">
        <v>175</v>
      </c>
      <c r="Q25" s="378">
        <f t="shared" si="1"/>
        <v>87</v>
      </c>
      <c r="R25" s="378">
        <v>262</v>
      </c>
      <c r="S25" s="378">
        <f t="shared" si="1"/>
        <v>88</v>
      </c>
      <c r="T25" s="380">
        <v>350</v>
      </c>
      <c r="U25" s="378"/>
      <c r="V25" s="379">
        <v>85</v>
      </c>
      <c r="W25" s="378">
        <f t="shared" si="2"/>
        <v>88</v>
      </c>
      <c r="X25" s="378">
        <v>173</v>
      </c>
      <c r="Y25" s="378">
        <v>88</v>
      </c>
      <c r="Z25" s="378">
        <v>261</v>
      </c>
      <c r="AA25" s="378">
        <f t="shared" si="3"/>
        <v>89</v>
      </c>
      <c r="AB25" s="380">
        <v>350</v>
      </c>
      <c r="AC25" s="274"/>
      <c r="AD25" s="379">
        <v>0</v>
      </c>
      <c r="AE25" s="378">
        <v>0</v>
      </c>
      <c r="AF25" s="378">
        <v>0</v>
      </c>
      <c r="AG25" s="378">
        <v>86</v>
      </c>
      <c r="AH25" s="378">
        <v>86</v>
      </c>
      <c r="AI25" s="378">
        <v>89</v>
      </c>
      <c r="AJ25" s="380">
        <v>175</v>
      </c>
    </row>
    <row r="26" spans="1:36" s="385" customFormat="1" ht="15" customHeight="1" outlineLevel="1" x14ac:dyDescent="0.25">
      <c r="A26" s="274" t="s">
        <v>15</v>
      </c>
      <c r="B26" s="381"/>
      <c r="C26" s="381"/>
      <c r="D26" s="382">
        <v>740</v>
      </c>
      <c r="E26" s="381"/>
      <c r="F26" s="383">
        <v>1162</v>
      </c>
      <c r="G26" s="381">
        <f t="shared" si="0"/>
        <v>1139</v>
      </c>
      <c r="H26" s="381">
        <v>2301</v>
      </c>
      <c r="I26" s="381">
        <f t="shared" si="0"/>
        <v>1125</v>
      </c>
      <c r="J26" s="381">
        <v>3426</v>
      </c>
      <c r="K26" s="381">
        <f t="shared" si="0"/>
        <v>1114</v>
      </c>
      <c r="L26" s="384">
        <v>4540</v>
      </c>
      <c r="M26" s="381"/>
      <c r="N26" s="383">
        <v>1110</v>
      </c>
      <c r="O26" s="381">
        <f t="shared" si="1"/>
        <v>1092</v>
      </c>
      <c r="P26" s="381">
        <v>2202</v>
      </c>
      <c r="Q26" s="381">
        <f t="shared" si="1"/>
        <v>1172</v>
      </c>
      <c r="R26" s="381">
        <v>3374</v>
      </c>
      <c r="S26" s="381">
        <f t="shared" si="1"/>
        <v>1156</v>
      </c>
      <c r="T26" s="384">
        <v>4530</v>
      </c>
      <c r="U26" s="381"/>
      <c r="V26" s="383">
        <v>856</v>
      </c>
      <c r="W26" s="381">
        <f t="shared" si="2"/>
        <v>1334</v>
      </c>
      <c r="X26" s="381">
        <v>2190</v>
      </c>
      <c r="Y26" s="381">
        <v>1219</v>
      </c>
      <c r="Z26" s="381">
        <v>3409</v>
      </c>
      <c r="AA26" s="381">
        <f t="shared" si="3"/>
        <v>1099</v>
      </c>
      <c r="AB26" s="384">
        <v>4508</v>
      </c>
      <c r="AC26" s="274"/>
      <c r="AD26" s="383">
        <v>0</v>
      </c>
      <c r="AE26" s="381">
        <v>0</v>
      </c>
      <c r="AF26" s="381">
        <v>0</v>
      </c>
      <c r="AG26" s="381">
        <v>780</v>
      </c>
      <c r="AH26" s="381">
        <v>780</v>
      </c>
      <c r="AI26" s="381">
        <v>890</v>
      </c>
      <c r="AJ26" s="384">
        <v>1670</v>
      </c>
    </row>
    <row r="27" spans="1:36" ht="15" customHeight="1" outlineLevel="1" x14ac:dyDescent="0.25">
      <c r="A27" s="274" t="s">
        <v>16</v>
      </c>
      <c r="B27" s="386"/>
      <c r="C27" s="386"/>
      <c r="D27" s="351">
        <v>0</v>
      </c>
      <c r="E27" s="386"/>
      <c r="F27" s="387">
        <v>0</v>
      </c>
      <c r="G27" s="386">
        <f t="shared" si="0"/>
        <v>0</v>
      </c>
      <c r="H27" s="386">
        <v>0</v>
      </c>
      <c r="I27" s="386">
        <f t="shared" si="0"/>
        <v>0</v>
      </c>
      <c r="J27" s="386">
        <v>0</v>
      </c>
      <c r="K27" s="386">
        <f t="shared" si="0"/>
        <v>0</v>
      </c>
      <c r="L27" s="388">
        <v>0</v>
      </c>
      <c r="M27" s="386"/>
      <c r="N27" s="387">
        <v>0</v>
      </c>
      <c r="O27" s="386">
        <f t="shared" si="1"/>
        <v>0</v>
      </c>
      <c r="P27" s="386">
        <v>0</v>
      </c>
      <c r="Q27" s="386">
        <f t="shared" si="1"/>
        <v>0</v>
      </c>
      <c r="R27" s="386">
        <v>0</v>
      </c>
      <c r="S27" s="386">
        <f t="shared" si="1"/>
        <v>8461</v>
      </c>
      <c r="T27" s="388">
        <v>8461</v>
      </c>
      <c r="U27" s="386"/>
      <c r="V27" s="387">
        <v>0</v>
      </c>
      <c r="W27" s="386">
        <f t="shared" si="2"/>
        <v>0</v>
      </c>
      <c r="X27" s="386">
        <v>0</v>
      </c>
      <c r="Y27" s="386">
        <v>0</v>
      </c>
      <c r="Z27" s="386">
        <v>0</v>
      </c>
      <c r="AA27" s="386">
        <f t="shared" si="3"/>
        <v>0</v>
      </c>
      <c r="AB27" s="388">
        <v>0</v>
      </c>
      <c r="AC27" s="317"/>
      <c r="AD27" s="387">
        <v>0</v>
      </c>
      <c r="AE27" s="386">
        <v>0</v>
      </c>
      <c r="AF27" s="386">
        <v>0</v>
      </c>
      <c r="AG27" s="386">
        <v>0</v>
      </c>
      <c r="AH27" s="386">
        <v>0</v>
      </c>
      <c r="AI27" s="386">
        <v>0</v>
      </c>
      <c r="AJ27" s="388">
        <v>0</v>
      </c>
    </row>
    <row r="28" spans="1:36" ht="15" customHeight="1" x14ac:dyDescent="0.25">
      <c r="A28" s="316" t="s">
        <v>17</v>
      </c>
      <c r="B28" s="370"/>
      <c r="C28" s="370"/>
      <c r="D28" s="347">
        <v>-1118</v>
      </c>
      <c r="E28" s="370"/>
      <c r="F28" s="371">
        <v>-869</v>
      </c>
      <c r="G28" s="370">
        <f t="shared" si="0"/>
        <v>1084</v>
      </c>
      <c r="H28" s="370">
        <v>215</v>
      </c>
      <c r="I28" s="370">
        <f t="shared" si="0"/>
        <v>-885</v>
      </c>
      <c r="J28" s="370">
        <v>-670</v>
      </c>
      <c r="K28" s="370">
        <f t="shared" si="0"/>
        <v>-1084</v>
      </c>
      <c r="L28" s="372">
        <v>-1754</v>
      </c>
      <c r="M28" s="370"/>
      <c r="N28" s="371">
        <v>223</v>
      </c>
      <c r="O28" s="370">
        <f t="shared" si="1"/>
        <v>20</v>
      </c>
      <c r="P28" s="370">
        <v>243</v>
      </c>
      <c r="Q28" s="370">
        <f t="shared" si="1"/>
        <v>-168</v>
      </c>
      <c r="R28" s="370">
        <v>75</v>
      </c>
      <c r="S28" s="370">
        <f t="shared" si="1"/>
        <v>-9406</v>
      </c>
      <c r="T28" s="372">
        <f>T23-T24-T25-T26-T27</f>
        <v>-9331</v>
      </c>
      <c r="U28" s="370"/>
      <c r="V28" s="371">
        <v>363</v>
      </c>
      <c r="W28" s="370">
        <f t="shared" si="2"/>
        <v>-1782</v>
      </c>
      <c r="X28" s="370">
        <v>-1419</v>
      </c>
      <c r="Y28" s="370">
        <v>554</v>
      </c>
      <c r="Z28" s="370">
        <v>-865</v>
      </c>
      <c r="AA28" s="370">
        <f t="shared" si="3"/>
        <v>1186</v>
      </c>
      <c r="AB28" s="372">
        <v>321</v>
      </c>
      <c r="AC28" s="316"/>
      <c r="AD28" s="371">
        <v>0</v>
      </c>
      <c r="AE28" s="370">
        <v>0</v>
      </c>
      <c r="AF28" s="370">
        <v>0</v>
      </c>
      <c r="AG28" s="370">
        <v>-3954</v>
      </c>
      <c r="AH28" s="370">
        <v>-3954</v>
      </c>
      <c r="AI28" s="370">
        <v>-2195</v>
      </c>
      <c r="AJ28" s="372">
        <v>-6149</v>
      </c>
    </row>
    <row r="29" spans="1:36" ht="15" customHeight="1" outlineLevel="1" x14ac:dyDescent="0.25">
      <c r="A29" s="274" t="s">
        <v>18</v>
      </c>
      <c r="B29" s="378"/>
      <c r="C29" s="378"/>
      <c r="D29" s="349">
        <v>31</v>
      </c>
      <c r="E29" s="378"/>
      <c r="F29" s="379">
        <v>35</v>
      </c>
      <c r="G29" s="378">
        <f t="shared" si="0"/>
        <v>28</v>
      </c>
      <c r="H29" s="378">
        <v>63</v>
      </c>
      <c r="I29" s="378">
        <f t="shared" si="0"/>
        <v>37</v>
      </c>
      <c r="J29" s="378">
        <v>100</v>
      </c>
      <c r="K29" s="378">
        <f t="shared" si="0"/>
        <v>29</v>
      </c>
      <c r="L29" s="380">
        <v>129</v>
      </c>
      <c r="M29" s="378"/>
      <c r="N29" s="379">
        <v>114</v>
      </c>
      <c r="O29" s="378">
        <f t="shared" si="1"/>
        <v>137</v>
      </c>
      <c r="P29" s="378">
        <v>251</v>
      </c>
      <c r="Q29" s="378">
        <f t="shared" si="1"/>
        <v>25</v>
      </c>
      <c r="R29" s="378">
        <v>276</v>
      </c>
      <c r="S29" s="378">
        <f t="shared" si="1"/>
        <v>30</v>
      </c>
      <c r="T29" s="380">
        <v>306</v>
      </c>
      <c r="U29" s="378"/>
      <c r="V29" s="379">
        <v>165</v>
      </c>
      <c r="W29" s="378">
        <f t="shared" si="2"/>
        <v>1142</v>
      </c>
      <c r="X29" s="378">
        <v>1307</v>
      </c>
      <c r="Y29" s="378">
        <v>441</v>
      </c>
      <c r="Z29" s="378">
        <v>1748</v>
      </c>
      <c r="AA29" s="378">
        <f t="shared" si="3"/>
        <v>1153</v>
      </c>
      <c r="AB29" s="380">
        <v>2901</v>
      </c>
      <c r="AD29" s="379">
        <v>0</v>
      </c>
      <c r="AE29" s="378">
        <v>0</v>
      </c>
      <c r="AF29" s="378">
        <v>0</v>
      </c>
      <c r="AG29" s="378">
        <v>29</v>
      </c>
      <c r="AH29" s="378">
        <v>29</v>
      </c>
      <c r="AI29" s="378">
        <v>71</v>
      </c>
      <c r="AJ29" s="380">
        <v>100</v>
      </c>
    </row>
    <row r="30" spans="1:36" ht="15" customHeight="1" outlineLevel="1" x14ac:dyDescent="0.25">
      <c r="A30" s="274" t="s">
        <v>19</v>
      </c>
      <c r="B30" s="378"/>
      <c r="C30" s="378"/>
      <c r="D30" s="349">
        <v>2</v>
      </c>
      <c r="E30" s="378"/>
      <c r="F30" s="379">
        <v>3</v>
      </c>
      <c r="G30" s="378">
        <f t="shared" si="0"/>
        <v>5</v>
      </c>
      <c r="H30" s="378">
        <v>8</v>
      </c>
      <c r="I30" s="378">
        <f t="shared" si="0"/>
        <v>2</v>
      </c>
      <c r="J30" s="378">
        <v>10</v>
      </c>
      <c r="K30" s="378">
        <f t="shared" si="0"/>
        <v>3</v>
      </c>
      <c r="L30" s="380">
        <v>13</v>
      </c>
      <c r="M30" s="378"/>
      <c r="N30" s="379">
        <v>4</v>
      </c>
      <c r="O30" s="378">
        <f t="shared" si="1"/>
        <v>3</v>
      </c>
      <c r="P30" s="378">
        <v>7</v>
      </c>
      <c r="Q30" s="378">
        <f t="shared" si="1"/>
        <v>30</v>
      </c>
      <c r="R30" s="378">
        <v>37</v>
      </c>
      <c r="S30" s="378">
        <f t="shared" si="1"/>
        <v>4</v>
      </c>
      <c r="T30" s="380">
        <v>41</v>
      </c>
      <c r="U30" s="378"/>
      <c r="V30" s="379">
        <v>1</v>
      </c>
      <c r="W30" s="378">
        <f t="shared" si="2"/>
        <v>3</v>
      </c>
      <c r="X30" s="378">
        <v>4</v>
      </c>
      <c r="Y30" s="378">
        <v>3</v>
      </c>
      <c r="Z30" s="378">
        <v>7</v>
      </c>
      <c r="AA30" s="378">
        <f t="shared" si="3"/>
        <v>2</v>
      </c>
      <c r="AB30" s="380">
        <v>9</v>
      </c>
      <c r="AD30" s="379">
        <v>0</v>
      </c>
      <c r="AE30" s="378">
        <v>0</v>
      </c>
      <c r="AF30" s="378">
        <v>0</v>
      </c>
      <c r="AG30" s="378">
        <v>6</v>
      </c>
      <c r="AH30" s="378">
        <v>6</v>
      </c>
      <c r="AI30" s="378">
        <v>1</v>
      </c>
      <c r="AJ30" s="380">
        <v>7</v>
      </c>
    </row>
    <row r="31" spans="1:36" s="385" customFormat="1" ht="15" customHeight="1" outlineLevel="1" x14ac:dyDescent="0.25">
      <c r="A31" s="274" t="s">
        <v>20</v>
      </c>
      <c r="B31" s="378"/>
      <c r="C31" s="378"/>
      <c r="D31" s="349">
        <v>936</v>
      </c>
      <c r="E31" s="378"/>
      <c r="F31" s="379">
        <v>1126</v>
      </c>
      <c r="G31" s="378">
        <f t="shared" si="0"/>
        <v>1289</v>
      </c>
      <c r="H31" s="378">
        <v>2415</v>
      </c>
      <c r="I31" s="378">
        <f t="shared" si="0"/>
        <v>1317</v>
      </c>
      <c r="J31" s="378">
        <v>3732</v>
      </c>
      <c r="K31" s="378">
        <f t="shared" si="0"/>
        <v>1324</v>
      </c>
      <c r="L31" s="380">
        <v>5056</v>
      </c>
      <c r="M31" s="378"/>
      <c r="N31" s="379">
        <v>1115</v>
      </c>
      <c r="O31" s="378">
        <f t="shared" si="1"/>
        <v>1137</v>
      </c>
      <c r="P31" s="378">
        <v>2252</v>
      </c>
      <c r="Q31" s="378">
        <f t="shared" si="1"/>
        <v>959</v>
      </c>
      <c r="R31" s="378">
        <v>3211</v>
      </c>
      <c r="S31" s="378">
        <f t="shared" si="1"/>
        <v>939</v>
      </c>
      <c r="T31" s="380">
        <v>4150</v>
      </c>
      <c r="U31" s="378"/>
      <c r="V31" s="379">
        <v>858</v>
      </c>
      <c r="W31" s="378">
        <f t="shared" si="2"/>
        <v>929</v>
      </c>
      <c r="X31" s="378">
        <v>1787</v>
      </c>
      <c r="Y31" s="378">
        <v>1145</v>
      </c>
      <c r="Z31" s="378">
        <v>2932</v>
      </c>
      <c r="AA31" s="378">
        <f t="shared" si="3"/>
        <v>1133</v>
      </c>
      <c r="AB31" s="380">
        <v>4065</v>
      </c>
      <c r="AC31" s="274"/>
      <c r="AD31" s="379">
        <v>0</v>
      </c>
      <c r="AE31" s="378">
        <v>0</v>
      </c>
      <c r="AF31" s="378">
        <v>0</v>
      </c>
      <c r="AG31" s="378">
        <v>407</v>
      </c>
      <c r="AH31" s="378">
        <v>407</v>
      </c>
      <c r="AI31" s="378">
        <v>542</v>
      </c>
      <c r="AJ31" s="380">
        <v>949</v>
      </c>
    </row>
    <row r="32" spans="1:36" ht="17.25" customHeight="1" outlineLevel="1" x14ac:dyDescent="0.4">
      <c r="A32" s="274" t="s">
        <v>21</v>
      </c>
      <c r="B32" s="389"/>
      <c r="C32" s="389"/>
      <c r="D32" s="390">
        <v>-541</v>
      </c>
      <c r="E32" s="389"/>
      <c r="F32" s="391">
        <v>-485</v>
      </c>
      <c r="G32" s="389">
        <f t="shared" si="0"/>
        <v>-188</v>
      </c>
      <c r="H32" s="389">
        <v>-673</v>
      </c>
      <c r="I32" s="389">
        <f t="shared" si="0"/>
        <v>-490</v>
      </c>
      <c r="J32" s="389">
        <v>-1163</v>
      </c>
      <c r="K32" s="389">
        <f t="shared" si="0"/>
        <v>-297</v>
      </c>
      <c r="L32" s="392">
        <v>-1460</v>
      </c>
      <c r="M32" s="389"/>
      <c r="N32" s="391">
        <v>-71</v>
      </c>
      <c r="O32" s="389">
        <f t="shared" si="1"/>
        <v>-409</v>
      </c>
      <c r="P32" s="389">
        <v>-480</v>
      </c>
      <c r="Q32" s="389">
        <f t="shared" si="1"/>
        <v>-464</v>
      </c>
      <c r="R32" s="389">
        <v>-944</v>
      </c>
      <c r="S32" s="389">
        <f t="shared" si="1"/>
        <v>-525</v>
      </c>
      <c r="T32" s="392">
        <v>-1469</v>
      </c>
      <c r="U32" s="389"/>
      <c r="V32" s="391">
        <v>138</v>
      </c>
      <c r="W32" s="389">
        <f t="shared" si="2"/>
        <v>-1081</v>
      </c>
      <c r="X32" s="389">
        <v>-943</v>
      </c>
      <c r="Y32" s="389">
        <v>-525</v>
      </c>
      <c r="Z32" s="389">
        <v>-1468</v>
      </c>
      <c r="AA32" s="389">
        <f t="shared" si="3"/>
        <v>-214</v>
      </c>
      <c r="AB32" s="392">
        <v>-1682</v>
      </c>
      <c r="AD32" s="391">
        <v>0</v>
      </c>
      <c r="AE32" s="389">
        <v>0</v>
      </c>
      <c r="AF32" s="389">
        <v>0</v>
      </c>
      <c r="AG32" s="389">
        <v>-1293</v>
      </c>
      <c r="AH32" s="389">
        <v>-1293</v>
      </c>
      <c r="AI32" s="389">
        <v>5</v>
      </c>
      <c r="AJ32" s="392">
        <v>-1288</v>
      </c>
    </row>
    <row r="33" spans="1:36" ht="15" customHeight="1" x14ac:dyDescent="0.25">
      <c r="A33" s="316" t="s">
        <v>24</v>
      </c>
      <c r="B33" s="370"/>
      <c r="C33" s="370"/>
      <c r="D33" s="347">
        <v>-1546</v>
      </c>
      <c r="E33" s="370"/>
      <c r="F33" s="371">
        <v>-1548</v>
      </c>
      <c r="G33" s="370">
        <f t="shared" si="0"/>
        <v>-50</v>
      </c>
      <c r="H33" s="370">
        <v>-1598</v>
      </c>
      <c r="I33" s="370">
        <f t="shared" si="0"/>
        <v>-1751</v>
      </c>
      <c r="J33" s="370">
        <v>-3349</v>
      </c>
      <c r="K33" s="370">
        <f t="shared" si="0"/>
        <v>-2143</v>
      </c>
      <c r="L33" s="372">
        <v>-5492</v>
      </c>
      <c r="M33" s="370"/>
      <c r="N33" s="371">
        <v>-939</v>
      </c>
      <c r="O33" s="370">
        <f t="shared" si="1"/>
        <v>-848</v>
      </c>
      <c r="P33" s="370">
        <v>-1787</v>
      </c>
      <c r="Q33" s="370">
        <f t="shared" si="1"/>
        <v>-718</v>
      </c>
      <c r="R33" s="370">
        <v>-2505</v>
      </c>
      <c r="S33" s="370">
        <f t="shared" si="1"/>
        <v>-9854</v>
      </c>
      <c r="T33" s="372">
        <v>-12359</v>
      </c>
      <c r="U33" s="370"/>
      <c r="V33" s="371">
        <v>-799</v>
      </c>
      <c r="W33" s="370">
        <f t="shared" si="2"/>
        <v>-2775</v>
      </c>
      <c r="X33" s="370">
        <v>-3574</v>
      </c>
      <c r="Y33" s="370">
        <v>-510</v>
      </c>
      <c r="Z33" s="370">
        <v>-4084</v>
      </c>
      <c r="AA33" s="370">
        <f t="shared" si="3"/>
        <v>-888</v>
      </c>
      <c r="AB33" s="372">
        <v>-4972</v>
      </c>
      <c r="AC33" s="316"/>
      <c r="AD33" s="371">
        <v>0</v>
      </c>
      <c r="AE33" s="370">
        <v>0</v>
      </c>
      <c r="AF33" s="370">
        <v>0</v>
      </c>
      <c r="AG33" s="370">
        <v>-3103</v>
      </c>
      <c r="AH33" s="370">
        <v>-3103</v>
      </c>
      <c r="AI33" s="370">
        <v>-2814</v>
      </c>
      <c r="AJ33" s="372">
        <v>-5917</v>
      </c>
    </row>
    <row r="34" spans="1:36" ht="15" customHeight="1" outlineLevel="1" x14ac:dyDescent="0.25">
      <c r="A34" s="317" t="s">
        <v>54</v>
      </c>
      <c r="B34" s="378"/>
      <c r="C34" s="378"/>
      <c r="D34" s="349"/>
      <c r="E34" s="378"/>
      <c r="F34" s="379"/>
      <c r="G34" s="378"/>
      <c r="H34" s="378"/>
      <c r="I34" s="378"/>
      <c r="J34" s="378"/>
      <c r="K34" s="378"/>
      <c r="L34" s="380"/>
      <c r="M34" s="378"/>
      <c r="N34" s="379"/>
      <c r="O34" s="378"/>
      <c r="P34" s="378"/>
      <c r="Q34" s="378"/>
      <c r="R34" s="378"/>
      <c r="S34" s="378"/>
      <c r="T34" s="380"/>
      <c r="U34" s="378"/>
      <c r="V34" s="379">
        <v>0</v>
      </c>
      <c r="W34" s="378">
        <f t="shared" si="2"/>
        <v>0</v>
      </c>
      <c r="X34" s="378">
        <v>0</v>
      </c>
      <c r="Y34" s="378">
        <v>0</v>
      </c>
      <c r="Z34" s="378"/>
      <c r="AA34" s="378"/>
      <c r="AB34" s="380"/>
      <c r="AD34" s="379"/>
      <c r="AE34" s="378"/>
      <c r="AF34" s="378"/>
      <c r="AG34" s="378"/>
      <c r="AH34" s="378"/>
      <c r="AI34" s="378"/>
      <c r="AJ34" s="380"/>
    </row>
    <row r="35" spans="1:36" ht="15" customHeight="1" outlineLevel="1" x14ac:dyDescent="0.25">
      <c r="A35" s="274" t="s">
        <v>21</v>
      </c>
      <c r="B35" s="378"/>
      <c r="C35" s="378"/>
      <c r="D35" s="349"/>
      <c r="E35" s="378"/>
      <c r="F35" s="379">
        <v>-485</v>
      </c>
      <c r="G35" s="378">
        <f t="shared" si="0"/>
        <v>-188</v>
      </c>
      <c r="H35" s="378">
        <v>-673</v>
      </c>
      <c r="I35" s="378">
        <f t="shared" si="0"/>
        <v>-490</v>
      </c>
      <c r="J35" s="378">
        <v>-1163</v>
      </c>
      <c r="K35" s="378">
        <f t="shared" si="0"/>
        <v>-297</v>
      </c>
      <c r="L35" s="380">
        <v>-1460</v>
      </c>
      <c r="M35" s="378"/>
      <c r="N35" s="379">
        <v>-71</v>
      </c>
      <c r="O35" s="378">
        <f t="shared" si="1"/>
        <v>-410</v>
      </c>
      <c r="P35" s="378">
        <v>-481</v>
      </c>
      <c r="Q35" s="378">
        <f t="shared" si="1"/>
        <v>-463</v>
      </c>
      <c r="R35" s="378">
        <v>-944</v>
      </c>
      <c r="S35" s="378">
        <f t="shared" si="1"/>
        <v>-525</v>
      </c>
      <c r="T35" s="380">
        <v>-1469</v>
      </c>
      <c r="U35" s="378"/>
      <c r="V35" s="379">
        <v>138</v>
      </c>
      <c r="W35" s="378">
        <f t="shared" si="2"/>
        <v>-1081</v>
      </c>
      <c r="X35" s="378">
        <v>-943</v>
      </c>
      <c r="Y35" s="378">
        <v>-525</v>
      </c>
      <c r="Z35" s="378">
        <v>-1468</v>
      </c>
      <c r="AA35" s="378">
        <f t="shared" si="3"/>
        <v>-214</v>
      </c>
      <c r="AB35" s="380">
        <v>-1682</v>
      </c>
      <c r="AD35" s="379">
        <v>0</v>
      </c>
      <c r="AE35" s="378">
        <v>0</v>
      </c>
      <c r="AF35" s="378">
        <v>0</v>
      </c>
      <c r="AG35" s="378">
        <v>-1293</v>
      </c>
      <c r="AH35" s="378">
        <v>-1293</v>
      </c>
      <c r="AI35" s="378">
        <v>5</v>
      </c>
      <c r="AJ35" s="380">
        <v>-1288</v>
      </c>
    </row>
    <row r="36" spans="1:36" ht="15" customHeight="1" outlineLevel="1" x14ac:dyDescent="0.25">
      <c r="A36" s="274" t="s">
        <v>19</v>
      </c>
      <c r="B36" s="378"/>
      <c r="C36" s="378"/>
      <c r="D36" s="349"/>
      <c r="E36" s="378"/>
      <c r="F36" s="379">
        <v>3</v>
      </c>
      <c r="G36" s="378">
        <f t="shared" si="0"/>
        <v>5</v>
      </c>
      <c r="H36" s="378">
        <v>8</v>
      </c>
      <c r="I36" s="378">
        <f t="shared" si="0"/>
        <v>2</v>
      </c>
      <c r="J36" s="378">
        <v>10</v>
      </c>
      <c r="K36" s="378">
        <f t="shared" si="0"/>
        <v>3</v>
      </c>
      <c r="L36" s="380">
        <v>13</v>
      </c>
      <c r="M36" s="378"/>
      <c r="N36" s="379">
        <v>4</v>
      </c>
      <c r="O36" s="378">
        <f t="shared" si="1"/>
        <v>3</v>
      </c>
      <c r="P36" s="378">
        <v>7</v>
      </c>
      <c r="Q36" s="378">
        <f t="shared" si="1"/>
        <v>30</v>
      </c>
      <c r="R36" s="378">
        <v>37</v>
      </c>
      <c r="S36" s="378">
        <f t="shared" si="1"/>
        <v>4</v>
      </c>
      <c r="T36" s="380">
        <v>41</v>
      </c>
      <c r="U36" s="378"/>
      <c r="V36" s="379">
        <v>1</v>
      </c>
      <c r="W36" s="378">
        <f t="shared" si="2"/>
        <v>3</v>
      </c>
      <c r="X36" s="378">
        <v>4</v>
      </c>
      <c r="Y36" s="378">
        <v>3</v>
      </c>
      <c r="Z36" s="378">
        <v>7</v>
      </c>
      <c r="AA36" s="378">
        <f t="shared" si="3"/>
        <v>2</v>
      </c>
      <c r="AB36" s="380">
        <v>9</v>
      </c>
      <c r="AD36" s="379">
        <v>0</v>
      </c>
      <c r="AE36" s="378">
        <v>0</v>
      </c>
      <c r="AF36" s="378">
        <v>0</v>
      </c>
      <c r="AG36" s="378">
        <v>6</v>
      </c>
      <c r="AH36" s="378">
        <v>6</v>
      </c>
      <c r="AI36" s="378">
        <v>1</v>
      </c>
      <c r="AJ36" s="380">
        <v>7</v>
      </c>
    </row>
    <row r="37" spans="1:36" s="317" customFormat="1" ht="15" customHeight="1" outlineLevel="1" x14ac:dyDescent="0.25">
      <c r="A37" s="274" t="s">
        <v>20</v>
      </c>
      <c r="B37" s="378"/>
      <c r="C37" s="378"/>
      <c r="D37" s="349"/>
      <c r="E37" s="378"/>
      <c r="F37" s="379">
        <v>1126</v>
      </c>
      <c r="G37" s="378">
        <f t="shared" si="0"/>
        <v>1289</v>
      </c>
      <c r="H37" s="378">
        <v>2415</v>
      </c>
      <c r="I37" s="378">
        <f t="shared" si="0"/>
        <v>1317</v>
      </c>
      <c r="J37" s="378">
        <v>3732</v>
      </c>
      <c r="K37" s="378">
        <f t="shared" si="0"/>
        <v>1324</v>
      </c>
      <c r="L37" s="380">
        <v>5056</v>
      </c>
      <c r="M37" s="378"/>
      <c r="N37" s="379">
        <v>1115</v>
      </c>
      <c r="O37" s="378">
        <f t="shared" si="1"/>
        <v>1137</v>
      </c>
      <c r="P37" s="378">
        <v>2252</v>
      </c>
      <c r="Q37" s="378">
        <f t="shared" si="1"/>
        <v>959</v>
      </c>
      <c r="R37" s="378">
        <v>3211</v>
      </c>
      <c r="S37" s="378">
        <f t="shared" si="1"/>
        <v>939</v>
      </c>
      <c r="T37" s="380">
        <v>4150</v>
      </c>
      <c r="U37" s="378"/>
      <c r="V37" s="379">
        <v>858</v>
      </c>
      <c r="W37" s="378">
        <f t="shared" si="2"/>
        <v>929</v>
      </c>
      <c r="X37" s="378">
        <v>1787</v>
      </c>
      <c r="Y37" s="378">
        <v>1145</v>
      </c>
      <c r="Z37" s="378">
        <v>2932</v>
      </c>
      <c r="AA37" s="378">
        <f t="shared" si="3"/>
        <v>1133</v>
      </c>
      <c r="AB37" s="380">
        <v>4065</v>
      </c>
      <c r="AC37" s="274"/>
      <c r="AD37" s="379">
        <v>0</v>
      </c>
      <c r="AE37" s="378">
        <v>0</v>
      </c>
      <c r="AF37" s="378">
        <v>0</v>
      </c>
      <c r="AG37" s="378">
        <v>407</v>
      </c>
      <c r="AH37" s="378">
        <v>407</v>
      </c>
      <c r="AI37" s="378">
        <v>542</v>
      </c>
      <c r="AJ37" s="380">
        <v>949</v>
      </c>
    </row>
    <row r="38" spans="1:36" s="385" customFormat="1" ht="15" customHeight="1" outlineLevel="1" x14ac:dyDescent="0.25">
      <c r="A38" s="274" t="s">
        <v>55</v>
      </c>
      <c r="B38" s="378"/>
      <c r="C38" s="378"/>
      <c r="D38" s="349"/>
      <c r="E38" s="378"/>
      <c r="F38" s="379">
        <v>1621</v>
      </c>
      <c r="G38" s="378">
        <f t="shared" si="0"/>
        <v>1579</v>
      </c>
      <c r="H38" s="378">
        <v>3200</v>
      </c>
      <c r="I38" s="378">
        <f t="shared" si="0"/>
        <v>1598</v>
      </c>
      <c r="J38" s="378">
        <v>4798</v>
      </c>
      <c r="K38" s="378">
        <f t="shared" si="0"/>
        <v>1390</v>
      </c>
      <c r="L38" s="380">
        <v>6188</v>
      </c>
      <c r="M38" s="378"/>
      <c r="N38" s="379">
        <v>1510</v>
      </c>
      <c r="O38" s="378">
        <f t="shared" si="1"/>
        <v>1521</v>
      </c>
      <c r="P38" s="378">
        <v>3031</v>
      </c>
      <c r="Q38" s="378">
        <f t="shared" si="1"/>
        <v>1895</v>
      </c>
      <c r="R38" s="378">
        <v>4926</v>
      </c>
      <c r="S38" s="378">
        <f t="shared" si="1"/>
        <v>1420</v>
      </c>
      <c r="T38" s="380">
        <v>6346</v>
      </c>
      <c r="U38" s="378"/>
      <c r="V38" s="379">
        <v>1310</v>
      </c>
      <c r="W38" s="378">
        <f t="shared" si="2"/>
        <v>2172</v>
      </c>
      <c r="X38" s="378">
        <v>3482</v>
      </c>
      <c r="Y38" s="378">
        <v>1708</v>
      </c>
      <c r="Z38" s="378">
        <v>5190</v>
      </c>
      <c r="AA38" s="378">
        <f t="shared" si="3"/>
        <v>1202</v>
      </c>
      <c r="AB38" s="380">
        <v>6392</v>
      </c>
      <c r="AC38" s="274"/>
      <c r="AD38" s="379">
        <v>0</v>
      </c>
      <c r="AE38" s="378">
        <v>0</v>
      </c>
      <c r="AF38" s="378">
        <v>0</v>
      </c>
      <c r="AG38" s="378">
        <v>4009</v>
      </c>
      <c r="AH38" s="378">
        <v>4009</v>
      </c>
      <c r="AI38" s="378">
        <v>1184</v>
      </c>
      <c r="AJ38" s="380">
        <v>5193</v>
      </c>
    </row>
    <row r="39" spans="1:36" ht="15" customHeight="1" outlineLevel="1" x14ac:dyDescent="0.25">
      <c r="A39" s="274" t="s">
        <v>56</v>
      </c>
      <c r="B39" s="386"/>
      <c r="C39" s="386"/>
      <c r="D39" s="351"/>
      <c r="E39" s="386"/>
      <c r="F39" s="387">
        <v>28</v>
      </c>
      <c r="G39" s="386">
        <f t="shared" si="0"/>
        <v>29</v>
      </c>
      <c r="H39" s="386">
        <v>57</v>
      </c>
      <c r="I39" s="386">
        <f t="shared" si="0"/>
        <v>29</v>
      </c>
      <c r="J39" s="386">
        <v>86</v>
      </c>
      <c r="K39" s="386">
        <f t="shared" si="0"/>
        <v>27</v>
      </c>
      <c r="L39" s="388">
        <v>113</v>
      </c>
      <c r="M39" s="386"/>
      <c r="N39" s="387">
        <v>29</v>
      </c>
      <c r="O39" s="386">
        <f t="shared" si="1"/>
        <v>27</v>
      </c>
      <c r="P39" s="386">
        <v>56</v>
      </c>
      <c r="Q39" s="386">
        <f t="shared" si="1"/>
        <v>29</v>
      </c>
      <c r="R39" s="386">
        <v>85</v>
      </c>
      <c r="S39" s="386">
        <f t="shared" si="1"/>
        <v>27</v>
      </c>
      <c r="T39" s="388">
        <v>112</v>
      </c>
      <c r="U39" s="386"/>
      <c r="V39" s="387">
        <v>58</v>
      </c>
      <c r="W39" s="386">
        <f t="shared" si="2"/>
        <v>5</v>
      </c>
      <c r="X39" s="386">
        <v>63</v>
      </c>
      <c r="Y39" s="386">
        <v>3</v>
      </c>
      <c r="Z39" s="386">
        <v>66</v>
      </c>
      <c r="AA39" s="386">
        <f t="shared" si="3"/>
        <v>29</v>
      </c>
      <c r="AB39" s="388">
        <v>95</v>
      </c>
      <c r="AC39" s="317"/>
      <c r="AD39" s="387">
        <v>0</v>
      </c>
      <c r="AE39" s="386">
        <v>0</v>
      </c>
      <c r="AF39" s="386">
        <v>0</v>
      </c>
      <c r="AG39" s="386">
        <v>20</v>
      </c>
      <c r="AH39" s="386">
        <v>20</v>
      </c>
      <c r="AI39" s="386">
        <v>18</v>
      </c>
      <c r="AJ39" s="388">
        <v>38</v>
      </c>
    </row>
    <row r="40" spans="1:36" ht="15" customHeight="1" x14ac:dyDescent="0.25">
      <c r="A40" s="316" t="s">
        <v>57</v>
      </c>
      <c r="B40" s="370"/>
      <c r="C40" s="370"/>
      <c r="D40" s="347"/>
      <c r="E40" s="370"/>
      <c r="F40" s="371">
        <v>745</v>
      </c>
      <c r="G40" s="370">
        <f t="shared" si="0"/>
        <v>2664</v>
      </c>
      <c r="H40" s="370">
        <v>3409</v>
      </c>
      <c r="I40" s="370">
        <f t="shared" si="0"/>
        <v>705</v>
      </c>
      <c r="J40" s="370">
        <v>4114</v>
      </c>
      <c r="K40" s="370">
        <f t="shared" si="0"/>
        <v>304</v>
      </c>
      <c r="L40" s="372">
        <v>4418</v>
      </c>
      <c r="M40" s="370"/>
      <c r="N40" s="371">
        <v>1648</v>
      </c>
      <c r="O40" s="370">
        <f t="shared" si="1"/>
        <v>1430</v>
      </c>
      <c r="P40" s="370">
        <v>3078</v>
      </c>
      <c r="Q40" s="370">
        <f t="shared" si="1"/>
        <v>1732</v>
      </c>
      <c r="R40" s="370">
        <v>4810</v>
      </c>
      <c r="S40" s="370">
        <f t="shared" si="1"/>
        <v>-7989</v>
      </c>
      <c r="T40" s="372">
        <v>-3179</v>
      </c>
      <c r="U40" s="370"/>
      <c r="V40" s="371">
        <v>1566</v>
      </c>
      <c r="W40" s="370">
        <f t="shared" si="2"/>
        <v>-747</v>
      </c>
      <c r="X40" s="370">
        <v>819</v>
      </c>
      <c r="Y40" s="370">
        <v>1824</v>
      </c>
      <c r="Z40" s="370">
        <v>2643</v>
      </c>
      <c r="AA40" s="370">
        <f t="shared" si="3"/>
        <v>1264</v>
      </c>
      <c r="AB40" s="372">
        <v>3907</v>
      </c>
      <c r="AC40" s="316"/>
      <c r="AD40" s="371">
        <v>0</v>
      </c>
      <c r="AE40" s="370">
        <v>0</v>
      </c>
      <c r="AF40" s="370">
        <v>0</v>
      </c>
      <c r="AG40" s="370">
        <v>46</v>
      </c>
      <c r="AH40" s="370">
        <v>46</v>
      </c>
      <c r="AI40" s="370">
        <v>-1064</v>
      </c>
      <c r="AJ40" s="372">
        <v>-1018</v>
      </c>
    </row>
    <row r="41" spans="1:36" ht="15" customHeight="1" outlineLevel="1" x14ac:dyDescent="0.25">
      <c r="A41" s="274" t="s">
        <v>58</v>
      </c>
      <c r="B41" s="378"/>
      <c r="C41" s="378"/>
      <c r="D41" s="349"/>
      <c r="E41" s="378"/>
      <c r="F41" s="379">
        <v>6</v>
      </c>
      <c r="G41" s="378">
        <f t="shared" si="0"/>
        <v>0</v>
      </c>
      <c r="H41" s="378">
        <v>6</v>
      </c>
      <c r="I41" s="378">
        <f t="shared" si="0"/>
        <v>7</v>
      </c>
      <c r="J41" s="378">
        <v>13</v>
      </c>
      <c r="K41" s="378">
        <f t="shared" si="0"/>
        <v>2</v>
      </c>
      <c r="L41" s="380">
        <v>15</v>
      </c>
      <c r="M41" s="378"/>
      <c r="N41" s="379">
        <v>0</v>
      </c>
      <c r="O41" s="378">
        <f t="shared" si="1"/>
        <v>-71</v>
      </c>
      <c r="P41" s="378">
        <v>-71</v>
      </c>
      <c r="Q41" s="378">
        <f t="shared" si="1"/>
        <v>-156</v>
      </c>
      <c r="R41" s="378">
        <v>-227</v>
      </c>
      <c r="S41" s="378">
        <f t="shared" si="1"/>
        <v>-17</v>
      </c>
      <c r="T41" s="380">
        <v>-244</v>
      </c>
      <c r="U41" s="378"/>
      <c r="V41" s="379">
        <v>0</v>
      </c>
      <c r="W41" s="378">
        <f t="shared" si="2"/>
        <v>0</v>
      </c>
      <c r="X41" s="378">
        <v>0</v>
      </c>
      <c r="Y41" s="378">
        <v>2</v>
      </c>
      <c r="Z41" s="378">
        <v>2</v>
      </c>
      <c r="AA41" s="378">
        <f t="shared" si="3"/>
        <v>1118</v>
      </c>
      <c r="AB41" s="380">
        <v>1120</v>
      </c>
      <c r="AD41" s="379">
        <v>0</v>
      </c>
      <c r="AE41" s="378">
        <v>0</v>
      </c>
      <c r="AF41" s="378">
        <v>0</v>
      </c>
      <c r="AG41" s="378">
        <v>1</v>
      </c>
      <c r="AH41" s="378">
        <v>1</v>
      </c>
      <c r="AI41" s="378">
        <v>2</v>
      </c>
      <c r="AJ41" s="380">
        <v>3</v>
      </c>
    </row>
    <row r="42" spans="1:36" ht="15" customHeight="1" outlineLevel="1" x14ac:dyDescent="0.25">
      <c r="A42" s="274" t="s">
        <v>59</v>
      </c>
      <c r="B42" s="378"/>
      <c r="C42" s="378"/>
      <c r="D42" s="349"/>
      <c r="E42" s="378"/>
      <c r="F42" s="379">
        <v>212</v>
      </c>
      <c r="G42" s="378">
        <f t="shared" si="0"/>
        <v>177</v>
      </c>
      <c r="H42" s="378">
        <v>389</v>
      </c>
      <c r="I42" s="378">
        <f t="shared" si="0"/>
        <v>168</v>
      </c>
      <c r="J42" s="378">
        <v>557</v>
      </c>
      <c r="K42" s="378">
        <f t="shared" si="0"/>
        <v>154</v>
      </c>
      <c r="L42" s="380">
        <v>711</v>
      </c>
      <c r="M42" s="378"/>
      <c r="N42" s="379">
        <v>172</v>
      </c>
      <c r="O42" s="378">
        <f t="shared" si="1"/>
        <v>336</v>
      </c>
      <c r="P42" s="378">
        <v>508</v>
      </c>
      <c r="Q42" s="378">
        <f t="shared" si="1"/>
        <v>242</v>
      </c>
      <c r="R42" s="378">
        <v>750</v>
      </c>
      <c r="S42" s="378">
        <f t="shared" si="1"/>
        <v>246</v>
      </c>
      <c r="T42" s="380">
        <v>996</v>
      </c>
      <c r="U42" s="378"/>
      <c r="V42" s="379">
        <v>230</v>
      </c>
      <c r="W42" s="378">
        <f t="shared" si="2"/>
        <v>180</v>
      </c>
      <c r="X42" s="378">
        <v>410</v>
      </c>
      <c r="Y42" s="378">
        <v>154</v>
      </c>
      <c r="Z42" s="378">
        <v>564</v>
      </c>
      <c r="AA42" s="378">
        <f t="shared" si="3"/>
        <v>216</v>
      </c>
      <c r="AB42" s="380">
        <v>780</v>
      </c>
      <c r="AD42" s="379">
        <v>0</v>
      </c>
      <c r="AE42" s="378">
        <v>0</v>
      </c>
      <c r="AF42" s="378">
        <v>0</v>
      </c>
      <c r="AG42" s="378">
        <v>0</v>
      </c>
      <c r="AH42" s="378">
        <v>0</v>
      </c>
      <c r="AI42" s="378">
        <v>419</v>
      </c>
      <c r="AJ42" s="380">
        <v>419</v>
      </c>
    </row>
    <row r="43" spans="1:36" ht="15" customHeight="1" outlineLevel="1" x14ac:dyDescent="0.25">
      <c r="A43" s="274" t="s">
        <v>71</v>
      </c>
      <c r="B43" s="378"/>
      <c r="C43" s="378"/>
      <c r="D43" s="349"/>
      <c r="E43" s="378"/>
      <c r="F43" s="379">
        <v>0</v>
      </c>
      <c r="G43" s="378">
        <f t="shared" si="0"/>
        <v>0</v>
      </c>
      <c r="H43" s="378">
        <v>0</v>
      </c>
      <c r="I43" s="378">
        <f t="shared" si="0"/>
        <v>0</v>
      </c>
      <c r="J43" s="378">
        <v>0</v>
      </c>
      <c r="K43" s="378">
        <f t="shared" si="0"/>
        <v>0</v>
      </c>
      <c r="L43" s="380">
        <v>0</v>
      </c>
      <c r="M43" s="378"/>
      <c r="N43" s="379">
        <v>0</v>
      </c>
      <c r="O43" s="378">
        <f t="shared" si="1"/>
        <v>0</v>
      </c>
      <c r="P43" s="378">
        <v>0</v>
      </c>
      <c r="Q43" s="378">
        <f t="shared" si="1"/>
        <v>0</v>
      </c>
      <c r="R43" s="378">
        <v>0</v>
      </c>
      <c r="S43" s="378">
        <f t="shared" si="1"/>
        <v>8461</v>
      </c>
      <c r="T43" s="380">
        <v>8461</v>
      </c>
      <c r="U43" s="378"/>
      <c r="V43" s="379">
        <v>0</v>
      </c>
      <c r="W43" s="378">
        <f t="shared" si="2"/>
        <v>0</v>
      </c>
      <c r="X43" s="378">
        <v>0</v>
      </c>
      <c r="Y43" s="378">
        <v>0</v>
      </c>
      <c r="Z43" s="378">
        <v>0</v>
      </c>
      <c r="AA43" s="378">
        <f t="shared" si="3"/>
        <v>0</v>
      </c>
      <c r="AB43" s="380"/>
      <c r="AD43" s="379">
        <v>0</v>
      </c>
      <c r="AE43" s="378">
        <v>0</v>
      </c>
      <c r="AF43" s="378">
        <v>0</v>
      </c>
      <c r="AG43" s="378">
        <v>0</v>
      </c>
      <c r="AH43" s="378">
        <v>0</v>
      </c>
      <c r="AI43" s="378">
        <v>0</v>
      </c>
      <c r="AJ43" s="380">
        <v>0</v>
      </c>
    </row>
    <row r="44" spans="1:36" ht="15" customHeight="1" outlineLevel="1" x14ac:dyDescent="0.25">
      <c r="A44" s="274" t="s">
        <v>61</v>
      </c>
      <c r="B44" s="378"/>
      <c r="C44" s="378"/>
      <c r="D44" s="349"/>
      <c r="E44" s="378"/>
      <c r="F44" s="379">
        <v>0</v>
      </c>
      <c r="G44" s="378">
        <f t="shared" si="0"/>
        <v>0</v>
      </c>
      <c r="H44" s="378">
        <v>0</v>
      </c>
      <c r="I44" s="378">
        <f t="shared" si="0"/>
        <v>0</v>
      </c>
      <c r="J44" s="378">
        <v>0</v>
      </c>
      <c r="K44" s="378">
        <f t="shared" si="0"/>
        <v>0</v>
      </c>
      <c r="L44" s="380">
        <v>0</v>
      </c>
      <c r="M44" s="378"/>
      <c r="N44" s="379">
        <v>0</v>
      </c>
      <c r="O44" s="378">
        <f t="shared" si="1"/>
        <v>0</v>
      </c>
      <c r="P44" s="378">
        <v>0</v>
      </c>
      <c r="Q44" s="378">
        <f t="shared" si="1"/>
        <v>0</v>
      </c>
      <c r="R44" s="378">
        <v>0</v>
      </c>
      <c r="S44" s="378">
        <f t="shared" si="1"/>
        <v>0</v>
      </c>
      <c r="T44" s="380">
        <v>0</v>
      </c>
      <c r="U44" s="378"/>
      <c r="V44" s="379">
        <v>0</v>
      </c>
      <c r="W44" s="378">
        <f t="shared" si="2"/>
        <v>0</v>
      </c>
      <c r="X44" s="378">
        <v>0</v>
      </c>
      <c r="Y44" s="378">
        <v>0</v>
      </c>
      <c r="Z44" s="378">
        <v>0</v>
      </c>
      <c r="AA44" s="378">
        <f t="shared" si="3"/>
        <v>0</v>
      </c>
      <c r="AB44" s="380"/>
      <c r="AD44" s="379">
        <v>0</v>
      </c>
      <c r="AE44" s="378">
        <v>0</v>
      </c>
      <c r="AF44" s="378">
        <v>0</v>
      </c>
      <c r="AG44" s="378">
        <v>0</v>
      </c>
      <c r="AH44" s="378">
        <v>0</v>
      </c>
      <c r="AI44" s="378">
        <v>0</v>
      </c>
      <c r="AJ44" s="380">
        <v>0</v>
      </c>
    </row>
    <row r="45" spans="1:36" ht="15" customHeight="1" outlineLevel="1" x14ac:dyDescent="0.25">
      <c r="A45" s="274" t="s">
        <v>62</v>
      </c>
      <c r="B45" s="378"/>
      <c r="C45" s="378"/>
      <c r="D45" s="349"/>
      <c r="E45" s="378"/>
      <c r="F45" s="379">
        <v>0</v>
      </c>
      <c r="G45" s="378">
        <f t="shared" si="0"/>
        <v>0</v>
      </c>
      <c r="H45" s="378">
        <v>0</v>
      </c>
      <c r="I45" s="378">
        <f t="shared" si="0"/>
        <v>0</v>
      </c>
      <c r="J45" s="378">
        <v>0</v>
      </c>
      <c r="K45" s="378">
        <f t="shared" si="0"/>
        <v>0</v>
      </c>
      <c r="L45" s="380">
        <v>0</v>
      </c>
      <c r="M45" s="378"/>
      <c r="N45" s="379">
        <v>0</v>
      </c>
      <c r="O45" s="378">
        <f t="shared" si="1"/>
        <v>0</v>
      </c>
      <c r="P45" s="378">
        <v>0</v>
      </c>
      <c r="Q45" s="378">
        <f t="shared" si="1"/>
        <v>0</v>
      </c>
      <c r="R45" s="378">
        <v>0</v>
      </c>
      <c r="S45" s="378">
        <f t="shared" si="1"/>
        <v>0</v>
      </c>
      <c r="T45" s="380">
        <v>0</v>
      </c>
      <c r="U45" s="378"/>
      <c r="V45" s="379">
        <v>0</v>
      </c>
      <c r="W45" s="378">
        <f t="shared" si="2"/>
        <v>0</v>
      </c>
      <c r="X45" s="378">
        <v>0</v>
      </c>
      <c r="Y45" s="378">
        <v>0</v>
      </c>
      <c r="Z45" s="378">
        <v>0</v>
      </c>
      <c r="AA45" s="378">
        <f t="shared" si="3"/>
        <v>0</v>
      </c>
      <c r="AB45" s="380"/>
      <c r="AD45" s="379">
        <v>0</v>
      </c>
      <c r="AE45" s="378">
        <v>0</v>
      </c>
      <c r="AF45" s="378">
        <v>0</v>
      </c>
      <c r="AG45" s="378">
        <v>1126</v>
      </c>
      <c r="AH45" s="378">
        <v>1126</v>
      </c>
      <c r="AI45" s="378">
        <v>415</v>
      </c>
      <c r="AJ45" s="380">
        <v>1541</v>
      </c>
    </row>
    <row r="46" spans="1:36" ht="15" customHeight="1" outlineLevel="1" x14ac:dyDescent="0.25">
      <c r="A46" s="274" t="s">
        <v>63</v>
      </c>
      <c r="B46" s="378"/>
      <c r="C46" s="378"/>
      <c r="D46" s="349"/>
      <c r="E46" s="378"/>
      <c r="F46" s="379">
        <v>0</v>
      </c>
      <c r="G46" s="378">
        <f t="shared" si="0"/>
        <v>0</v>
      </c>
      <c r="H46" s="378">
        <v>0</v>
      </c>
      <c r="I46" s="378">
        <f t="shared" si="0"/>
        <v>0</v>
      </c>
      <c r="J46" s="378">
        <v>0</v>
      </c>
      <c r="K46" s="378">
        <f t="shared" si="0"/>
        <v>0</v>
      </c>
      <c r="L46" s="380">
        <v>0</v>
      </c>
      <c r="M46" s="378"/>
      <c r="N46" s="379">
        <v>0</v>
      </c>
      <c r="O46" s="378">
        <f t="shared" si="1"/>
        <v>0</v>
      </c>
      <c r="P46" s="378">
        <v>0</v>
      </c>
      <c r="Q46" s="378">
        <f t="shared" si="1"/>
        <v>0</v>
      </c>
      <c r="R46" s="378">
        <v>0</v>
      </c>
      <c r="S46" s="378">
        <f t="shared" si="1"/>
        <v>0</v>
      </c>
      <c r="T46" s="380">
        <v>0</v>
      </c>
      <c r="U46" s="378"/>
      <c r="V46" s="379">
        <v>0</v>
      </c>
      <c r="W46" s="378">
        <f t="shared" si="2"/>
        <v>0</v>
      </c>
      <c r="X46" s="378">
        <v>0</v>
      </c>
      <c r="Y46" s="378">
        <v>0</v>
      </c>
      <c r="Z46" s="378">
        <v>0</v>
      </c>
      <c r="AA46" s="378">
        <f t="shared" si="3"/>
        <v>0</v>
      </c>
      <c r="AB46" s="380"/>
      <c r="AD46" s="379">
        <v>0</v>
      </c>
      <c r="AE46" s="378">
        <v>0</v>
      </c>
      <c r="AF46" s="378">
        <v>0</v>
      </c>
      <c r="AG46" s="378">
        <v>0</v>
      </c>
      <c r="AH46" s="378">
        <v>0</v>
      </c>
      <c r="AI46" s="378">
        <v>0</v>
      </c>
      <c r="AJ46" s="380">
        <v>0</v>
      </c>
    </row>
    <row r="47" spans="1:36" ht="15" customHeight="1" outlineLevel="1" x14ac:dyDescent="0.25">
      <c r="A47" s="274" t="s">
        <v>86</v>
      </c>
      <c r="B47" s="378"/>
      <c r="C47" s="378"/>
      <c r="D47" s="349"/>
      <c r="E47" s="378"/>
      <c r="F47" s="379">
        <v>0</v>
      </c>
      <c r="G47" s="378">
        <f t="shared" si="0"/>
        <v>0</v>
      </c>
      <c r="H47" s="378">
        <v>0</v>
      </c>
      <c r="I47" s="378">
        <f t="shared" si="0"/>
        <v>0</v>
      </c>
      <c r="J47" s="378">
        <v>0</v>
      </c>
      <c r="K47" s="378">
        <f t="shared" si="0"/>
        <v>0</v>
      </c>
      <c r="L47" s="380">
        <v>0</v>
      </c>
      <c r="M47" s="378"/>
      <c r="N47" s="379">
        <v>0</v>
      </c>
      <c r="O47" s="378">
        <f t="shared" si="1"/>
        <v>0</v>
      </c>
      <c r="P47" s="378">
        <v>0</v>
      </c>
      <c r="Q47" s="378">
        <f t="shared" si="1"/>
        <v>0</v>
      </c>
      <c r="R47" s="378">
        <v>0</v>
      </c>
      <c r="S47" s="378">
        <f t="shared" si="1"/>
        <v>0</v>
      </c>
      <c r="T47" s="380">
        <v>0</v>
      </c>
      <c r="U47" s="378"/>
      <c r="V47" s="379">
        <v>250</v>
      </c>
      <c r="W47" s="378">
        <f t="shared" si="2"/>
        <v>250</v>
      </c>
      <c r="X47" s="378">
        <v>500</v>
      </c>
      <c r="Y47" s="378">
        <v>0</v>
      </c>
      <c r="Z47" s="378">
        <v>500</v>
      </c>
      <c r="AA47" s="378">
        <f t="shared" si="3"/>
        <v>0</v>
      </c>
      <c r="AB47" s="380">
        <v>500</v>
      </c>
      <c r="AD47" s="379">
        <v>0</v>
      </c>
      <c r="AE47" s="378">
        <v>0</v>
      </c>
      <c r="AF47" s="378">
        <v>0</v>
      </c>
      <c r="AG47" s="378">
        <v>250</v>
      </c>
      <c r="AH47" s="378">
        <v>250</v>
      </c>
      <c r="AI47" s="378">
        <v>250</v>
      </c>
      <c r="AJ47" s="380">
        <v>500</v>
      </c>
    </row>
    <row r="48" spans="1:36" s="385" customFormat="1" ht="15" customHeight="1" outlineLevel="1" x14ac:dyDescent="0.25">
      <c r="A48" s="274" t="s">
        <v>14</v>
      </c>
      <c r="B48" s="378"/>
      <c r="C48" s="378"/>
      <c r="D48" s="349"/>
      <c r="E48" s="378"/>
      <c r="F48" s="379">
        <v>87</v>
      </c>
      <c r="G48" s="378">
        <f t="shared" si="0"/>
        <v>88</v>
      </c>
      <c r="H48" s="378">
        <v>175</v>
      </c>
      <c r="I48" s="378">
        <f t="shared" si="0"/>
        <v>88</v>
      </c>
      <c r="J48" s="378">
        <v>263</v>
      </c>
      <c r="K48" s="378">
        <f t="shared" si="0"/>
        <v>87</v>
      </c>
      <c r="L48" s="380">
        <v>350</v>
      </c>
      <c r="M48" s="378"/>
      <c r="N48" s="379">
        <v>87</v>
      </c>
      <c r="O48" s="378">
        <f t="shared" si="1"/>
        <v>88</v>
      </c>
      <c r="P48" s="378">
        <v>175</v>
      </c>
      <c r="Q48" s="378">
        <f t="shared" si="1"/>
        <v>87</v>
      </c>
      <c r="R48" s="378">
        <v>262</v>
      </c>
      <c r="S48" s="378">
        <f t="shared" si="1"/>
        <v>88</v>
      </c>
      <c r="T48" s="380">
        <v>350</v>
      </c>
      <c r="U48" s="378"/>
      <c r="V48" s="379">
        <v>84</v>
      </c>
      <c r="W48" s="378">
        <f t="shared" si="2"/>
        <v>89</v>
      </c>
      <c r="X48" s="378">
        <v>173</v>
      </c>
      <c r="Y48" s="378">
        <v>88</v>
      </c>
      <c r="Z48" s="378">
        <v>261</v>
      </c>
      <c r="AA48" s="378">
        <f t="shared" si="3"/>
        <v>89</v>
      </c>
      <c r="AB48" s="380">
        <v>350</v>
      </c>
      <c r="AC48" s="274"/>
      <c r="AD48" s="379">
        <v>0</v>
      </c>
      <c r="AE48" s="378">
        <v>0</v>
      </c>
      <c r="AF48" s="378">
        <v>0</v>
      </c>
      <c r="AG48" s="378">
        <v>86</v>
      </c>
      <c r="AH48" s="378">
        <v>86</v>
      </c>
      <c r="AI48" s="378">
        <v>89</v>
      </c>
      <c r="AJ48" s="380">
        <v>175</v>
      </c>
    </row>
    <row r="49" spans="1:36" ht="17.25" customHeight="1" outlineLevel="1" x14ac:dyDescent="0.4">
      <c r="A49" s="274" t="s">
        <v>34</v>
      </c>
      <c r="B49" s="389"/>
      <c r="C49" s="389"/>
      <c r="D49" s="390"/>
      <c r="E49" s="389"/>
      <c r="F49" s="391">
        <v>0</v>
      </c>
      <c r="G49" s="389">
        <f t="shared" si="0"/>
        <v>0</v>
      </c>
      <c r="H49" s="389">
        <v>0</v>
      </c>
      <c r="I49" s="389">
        <f t="shared" si="0"/>
        <v>0</v>
      </c>
      <c r="J49" s="389">
        <v>0</v>
      </c>
      <c r="K49" s="389">
        <f t="shared" si="0"/>
        <v>0</v>
      </c>
      <c r="L49" s="392">
        <v>0</v>
      </c>
      <c r="M49" s="389"/>
      <c r="N49" s="391">
        <v>0</v>
      </c>
      <c r="O49" s="389">
        <f t="shared" si="1"/>
        <v>0</v>
      </c>
      <c r="P49" s="389">
        <v>0</v>
      </c>
      <c r="Q49" s="389">
        <f t="shared" si="1"/>
        <v>0</v>
      </c>
      <c r="R49" s="389">
        <v>0</v>
      </c>
      <c r="S49" s="389">
        <f t="shared" si="1"/>
        <v>0</v>
      </c>
      <c r="T49" s="392">
        <v>0</v>
      </c>
      <c r="U49" s="389"/>
      <c r="V49" s="391">
        <v>0</v>
      </c>
      <c r="W49" s="389">
        <f t="shared" si="2"/>
        <v>0</v>
      </c>
      <c r="X49" s="389">
        <v>0</v>
      </c>
      <c r="Y49" s="389">
        <v>0</v>
      </c>
      <c r="Z49" s="389">
        <v>0</v>
      </c>
      <c r="AA49" s="389">
        <f t="shared" si="3"/>
        <v>0</v>
      </c>
      <c r="AB49" s="392">
        <v>0</v>
      </c>
      <c r="AD49" s="391">
        <v>0</v>
      </c>
      <c r="AE49" s="389">
        <v>0</v>
      </c>
      <c r="AF49" s="389">
        <v>0</v>
      </c>
      <c r="AG49" s="389">
        <v>0</v>
      </c>
      <c r="AH49" s="389">
        <v>0</v>
      </c>
      <c r="AI49" s="389">
        <v>0</v>
      </c>
      <c r="AJ49" s="392">
        <v>0</v>
      </c>
    </row>
    <row r="50" spans="1:36" x14ac:dyDescent="0.25">
      <c r="A50" s="316" t="s">
        <v>65</v>
      </c>
      <c r="B50" s="370"/>
      <c r="C50" s="370"/>
      <c r="D50" s="347"/>
      <c r="E50" s="370"/>
      <c r="F50" s="371">
        <v>1050</v>
      </c>
      <c r="G50" s="370">
        <f t="shared" si="0"/>
        <v>2929</v>
      </c>
      <c r="H50" s="370">
        <v>3979</v>
      </c>
      <c r="I50" s="370">
        <f t="shared" si="0"/>
        <v>968</v>
      </c>
      <c r="J50" s="370">
        <v>4947</v>
      </c>
      <c r="K50" s="370">
        <f t="shared" si="0"/>
        <v>547</v>
      </c>
      <c r="L50" s="372">
        <v>5494</v>
      </c>
      <c r="M50" s="370"/>
      <c r="N50" s="371">
        <v>1907</v>
      </c>
      <c r="O50" s="370">
        <f t="shared" si="1"/>
        <v>1783</v>
      </c>
      <c r="P50" s="370">
        <v>3690</v>
      </c>
      <c r="Q50" s="370">
        <f t="shared" si="1"/>
        <v>1905</v>
      </c>
      <c r="R50" s="370">
        <v>5595</v>
      </c>
      <c r="S50" s="370">
        <f t="shared" si="1"/>
        <v>789</v>
      </c>
      <c r="T50" s="372">
        <v>6384</v>
      </c>
      <c r="U50" s="370"/>
      <c r="V50" s="371">
        <v>2130</v>
      </c>
      <c r="W50" s="370">
        <f t="shared" si="2"/>
        <v>-228</v>
      </c>
      <c r="X50" s="370">
        <v>1902</v>
      </c>
      <c r="Y50" s="370">
        <v>2068</v>
      </c>
      <c r="Z50" s="370">
        <v>3970</v>
      </c>
      <c r="AA50" s="370">
        <f t="shared" si="3"/>
        <v>2687</v>
      </c>
      <c r="AB50" s="372">
        <v>6657</v>
      </c>
      <c r="AC50" s="316"/>
      <c r="AD50" s="371">
        <v>0</v>
      </c>
      <c r="AE50" s="370">
        <v>0</v>
      </c>
      <c r="AF50" s="370">
        <v>0</v>
      </c>
      <c r="AG50" s="370">
        <v>1509</v>
      </c>
      <c r="AH50" s="370">
        <v>1509</v>
      </c>
      <c r="AI50" s="370">
        <v>111</v>
      </c>
      <c r="AJ50" s="372">
        <v>1620</v>
      </c>
    </row>
    <row r="51" spans="1:36" s="316" customFormat="1" x14ac:dyDescent="0.25">
      <c r="A51" s="274"/>
      <c r="B51" s="370"/>
      <c r="C51" s="370"/>
      <c r="D51" s="347"/>
      <c r="E51" s="370"/>
      <c r="F51" s="371"/>
      <c r="G51" s="370"/>
      <c r="H51" s="370"/>
      <c r="I51" s="370"/>
      <c r="J51" s="370"/>
      <c r="K51" s="370"/>
      <c r="L51" s="372"/>
      <c r="M51" s="370"/>
      <c r="N51" s="371"/>
      <c r="O51" s="370"/>
      <c r="P51" s="370"/>
      <c r="Q51" s="370"/>
      <c r="R51" s="370"/>
      <c r="S51" s="370"/>
      <c r="T51" s="372"/>
      <c r="U51" s="370"/>
      <c r="V51" s="371"/>
      <c r="W51" s="370"/>
      <c r="X51" s="370"/>
      <c r="Y51" s="370"/>
      <c r="Z51" s="370"/>
      <c r="AA51" s="370"/>
      <c r="AB51" s="372"/>
      <c r="AC51" s="274"/>
      <c r="AD51" s="371"/>
      <c r="AE51" s="370"/>
      <c r="AF51" s="370"/>
      <c r="AG51" s="370"/>
      <c r="AH51" s="370"/>
      <c r="AI51" s="370"/>
      <c r="AJ51" s="372"/>
    </row>
    <row r="52" spans="1:36" s="316" customFormat="1" x14ac:dyDescent="0.25">
      <c r="A52" s="274"/>
      <c r="B52" s="370"/>
      <c r="C52" s="370"/>
      <c r="D52" s="347"/>
      <c r="E52" s="370"/>
      <c r="F52" s="371"/>
      <c r="G52" s="370"/>
      <c r="H52" s="370"/>
      <c r="I52" s="370"/>
      <c r="J52" s="370"/>
      <c r="K52" s="370"/>
      <c r="L52" s="372"/>
      <c r="M52" s="370"/>
      <c r="N52" s="371"/>
      <c r="O52" s="370"/>
      <c r="P52" s="370"/>
      <c r="Q52" s="370"/>
      <c r="R52" s="370"/>
      <c r="S52" s="370"/>
      <c r="T52" s="372"/>
      <c r="U52" s="370"/>
      <c r="V52" s="371"/>
      <c r="W52" s="370"/>
      <c r="X52" s="370"/>
      <c r="Y52" s="370"/>
      <c r="Z52" s="370"/>
      <c r="AA52" s="370"/>
      <c r="AB52" s="372"/>
      <c r="AC52" s="274"/>
      <c r="AD52" s="371"/>
      <c r="AE52" s="370"/>
      <c r="AF52" s="370"/>
      <c r="AG52" s="370"/>
      <c r="AH52" s="370"/>
      <c r="AI52" s="370"/>
      <c r="AJ52" s="372"/>
    </row>
    <row r="53" spans="1:36" ht="15" customHeight="1" x14ac:dyDescent="0.25">
      <c r="A53" s="316" t="s">
        <v>25</v>
      </c>
      <c r="B53" s="370"/>
      <c r="C53" s="370"/>
      <c r="D53" s="347"/>
      <c r="E53" s="370"/>
      <c r="F53" s="371">
        <v>139404</v>
      </c>
      <c r="G53" s="370">
        <v>139800</v>
      </c>
      <c r="H53" s="370"/>
      <c r="I53" s="370">
        <v>138767</v>
      </c>
      <c r="J53" s="370"/>
      <c r="K53" s="370">
        <v>131702</v>
      </c>
      <c r="L53" s="372"/>
      <c r="M53" s="370"/>
      <c r="N53" s="371">
        <v>146113</v>
      </c>
      <c r="O53" s="370">
        <v>151916</v>
      </c>
      <c r="P53" s="370"/>
      <c r="Q53" s="370">
        <v>153090</v>
      </c>
      <c r="R53" s="370"/>
      <c r="S53" s="370">
        <v>142044</v>
      </c>
      <c r="T53" s="372"/>
      <c r="U53" s="370"/>
      <c r="V53" s="371">
        <v>153344</v>
      </c>
      <c r="W53" s="370">
        <v>155623</v>
      </c>
      <c r="X53" s="370"/>
      <c r="Y53" s="370">
        <v>154021</v>
      </c>
      <c r="Z53" s="370"/>
      <c r="AA53" s="370">
        <v>148425</v>
      </c>
      <c r="AB53" s="372"/>
      <c r="AC53" s="316"/>
      <c r="AD53" s="371">
        <v>0</v>
      </c>
      <c r="AE53" s="370">
        <v>0</v>
      </c>
      <c r="AF53" s="370"/>
      <c r="AG53" s="370">
        <v>113047</v>
      </c>
      <c r="AH53" s="370"/>
      <c r="AI53" s="370">
        <v>146683</v>
      </c>
      <c r="AJ53" s="372"/>
    </row>
    <row r="54" spans="1:36" ht="15" customHeight="1" x14ac:dyDescent="0.25">
      <c r="A54" s="316"/>
      <c r="B54" s="370"/>
      <c r="C54" s="370"/>
      <c r="D54" s="347"/>
      <c r="E54" s="370"/>
      <c r="F54" s="371"/>
      <c r="G54" s="370"/>
      <c r="H54" s="370"/>
      <c r="I54" s="370"/>
      <c r="J54" s="370"/>
      <c r="K54" s="370"/>
      <c r="L54" s="372"/>
      <c r="M54" s="370"/>
      <c r="N54" s="371"/>
      <c r="O54" s="370"/>
      <c r="P54" s="370"/>
      <c r="Q54" s="370"/>
      <c r="R54" s="370"/>
      <c r="S54" s="370"/>
      <c r="T54" s="372"/>
      <c r="U54" s="370"/>
      <c r="V54" s="371"/>
      <c r="W54" s="370"/>
      <c r="X54" s="370"/>
      <c r="Y54" s="370"/>
      <c r="Z54" s="370"/>
      <c r="AA54" s="370"/>
      <c r="AB54" s="372"/>
      <c r="AC54" s="316"/>
      <c r="AD54" s="371"/>
      <c r="AE54" s="370"/>
      <c r="AF54" s="370"/>
      <c r="AG54" s="370"/>
      <c r="AH54" s="370"/>
      <c r="AI54" s="370"/>
      <c r="AJ54" s="372"/>
    </row>
    <row r="55" spans="1:36" s="385" customFormat="1" x14ac:dyDescent="0.25">
      <c r="A55" s="393" t="s">
        <v>26</v>
      </c>
      <c r="B55" s="378"/>
      <c r="C55" s="378"/>
      <c r="D55" s="349"/>
      <c r="E55" s="378"/>
      <c r="F55" s="379">
        <v>48889</v>
      </c>
      <c r="G55" s="378">
        <v>48951</v>
      </c>
      <c r="H55" s="378"/>
      <c r="I55" s="378">
        <v>50182</v>
      </c>
      <c r="J55" s="378"/>
      <c r="K55" s="378">
        <v>48902</v>
      </c>
      <c r="L55" s="380"/>
      <c r="M55" s="378"/>
      <c r="N55" s="379">
        <v>47247</v>
      </c>
      <c r="O55" s="378">
        <v>48805</v>
      </c>
      <c r="P55" s="378"/>
      <c r="Q55" s="378">
        <v>48603</v>
      </c>
      <c r="R55" s="378"/>
      <c r="S55" s="378">
        <v>49075</v>
      </c>
      <c r="T55" s="380"/>
      <c r="U55" s="378"/>
      <c r="V55" s="379">
        <v>45905</v>
      </c>
      <c r="W55" s="378">
        <v>46020</v>
      </c>
      <c r="X55" s="378"/>
      <c r="Y55" s="378">
        <v>47289</v>
      </c>
      <c r="Z55" s="378"/>
      <c r="AA55" s="378">
        <v>46553</v>
      </c>
      <c r="AB55" s="380"/>
      <c r="AC55" s="274"/>
      <c r="AD55" s="379">
        <v>0</v>
      </c>
      <c r="AE55" s="378">
        <v>0</v>
      </c>
      <c r="AF55" s="378"/>
      <c r="AG55" s="378">
        <v>23363</v>
      </c>
      <c r="AH55" s="378"/>
      <c r="AI55" s="378">
        <v>47514</v>
      </c>
      <c r="AJ55" s="380"/>
    </row>
    <row r="56" spans="1:36" s="317" customFormat="1" x14ac:dyDescent="0.25">
      <c r="A56" s="274" t="s">
        <v>28</v>
      </c>
      <c r="B56" s="386"/>
      <c r="C56" s="386"/>
      <c r="D56" s="351"/>
      <c r="E56" s="386"/>
      <c r="F56" s="387">
        <v>25164</v>
      </c>
      <c r="G56" s="386">
        <v>26561</v>
      </c>
      <c r="H56" s="386"/>
      <c r="I56" s="386">
        <v>24733</v>
      </c>
      <c r="J56" s="386"/>
      <c r="K56" s="386">
        <v>24198</v>
      </c>
      <c r="L56" s="388"/>
      <c r="M56" s="386"/>
      <c r="N56" s="387">
        <v>23755</v>
      </c>
      <c r="O56" s="386">
        <v>26676</v>
      </c>
      <c r="P56" s="386"/>
      <c r="Q56" s="386">
        <v>25766</v>
      </c>
      <c r="R56" s="386"/>
      <c r="S56" s="386">
        <v>24474</v>
      </c>
      <c r="T56" s="388"/>
      <c r="U56" s="386"/>
      <c r="V56" s="387">
        <v>25854</v>
      </c>
      <c r="W56" s="386">
        <v>30535</v>
      </c>
      <c r="X56" s="386"/>
      <c r="Y56" s="386">
        <v>29124</v>
      </c>
      <c r="Z56" s="386"/>
      <c r="AA56" s="386">
        <v>26674</v>
      </c>
      <c r="AB56" s="388"/>
      <c r="AC56" s="377"/>
      <c r="AD56" s="387">
        <v>0</v>
      </c>
      <c r="AE56" s="386">
        <v>0</v>
      </c>
      <c r="AF56" s="386"/>
      <c r="AG56" s="386">
        <v>16620</v>
      </c>
      <c r="AH56" s="386"/>
      <c r="AI56" s="386">
        <v>22342</v>
      </c>
      <c r="AJ56" s="388"/>
    </row>
    <row r="57" spans="1:36" s="316" customFormat="1" x14ac:dyDescent="0.25">
      <c r="A57" s="316" t="s">
        <v>29</v>
      </c>
      <c r="B57" s="370"/>
      <c r="C57" s="370"/>
      <c r="D57" s="347"/>
      <c r="E57" s="370"/>
      <c r="F57" s="371">
        <v>74053</v>
      </c>
      <c r="G57" s="370">
        <v>75512</v>
      </c>
      <c r="H57" s="370"/>
      <c r="I57" s="370">
        <v>74915</v>
      </c>
      <c r="J57" s="370"/>
      <c r="K57" s="370">
        <v>73100</v>
      </c>
      <c r="L57" s="372"/>
      <c r="M57" s="370"/>
      <c r="N57" s="371">
        <v>71002</v>
      </c>
      <c r="O57" s="370">
        <v>75481</v>
      </c>
      <c r="P57" s="370"/>
      <c r="Q57" s="370">
        <v>74369</v>
      </c>
      <c r="R57" s="370"/>
      <c r="S57" s="370">
        <v>73549</v>
      </c>
      <c r="T57" s="372"/>
      <c r="U57" s="370"/>
      <c r="V57" s="371">
        <v>71759</v>
      </c>
      <c r="W57" s="370">
        <v>76555</v>
      </c>
      <c r="X57" s="370"/>
      <c r="Y57" s="370">
        <v>76413</v>
      </c>
      <c r="Z57" s="370"/>
      <c r="AA57" s="370">
        <v>73227</v>
      </c>
      <c r="AB57" s="372"/>
      <c r="AD57" s="371">
        <v>0</v>
      </c>
      <c r="AE57" s="370">
        <v>0</v>
      </c>
      <c r="AF57" s="370"/>
      <c r="AG57" s="370">
        <v>39983</v>
      </c>
      <c r="AH57" s="370"/>
      <c r="AI57" s="370">
        <v>69856</v>
      </c>
      <c r="AJ57" s="372"/>
    </row>
    <row r="58" spans="1:36" x14ac:dyDescent="0.25">
      <c r="A58" s="316"/>
      <c r="B58" s="370"/>
      <c r="C58" s="370"/>
      <c r="D58" s="347"/>
      <c r="E58" s="370"/>
      <c r="F58" s="371"/>
      <c r="G58" s="370"/>
      <c r="H58" s="370"/>
      <c r="I58" s="370"/>
      <c r="J58" s="370"/>
      <c r="K58" s="370"/>
      <c r="L58" s="372"/>
      <c r="M58" s="370"/>
      <c r="N58" s="371"/>
      <c r="O58" s="370"/>
      <c r="P58" s="370"/>
      <c r="Q58" s="370"/>
      <c r="R58" s="370"/>
      <c r="S58" s="370"/>
      <c r="T58" s="372"/>
      <c r="U58" s="370"/>
      <c r="V58" s="371"/>
      <c r="W58" s="370"/>
      <c r="X58" s="370"/>
      <c r="Y58" s="370"/>
      <c r="Z58" s="370"/>
      <c r="AA58" s="370"/>
      <c r="AB58" s="372"/>
      <c r="AC58" s="316"/>
      <c r="AD58" s="371"/>
      <c r="AE58" s="370"/>
      <c r="AF58" s="370"/>
      <c r="AG58" s="370"/>
      <c r="AH58" s="370"/>
      <c r="AI58" s="370"/>
      <c r="AJ58" s="372"/>
    </row>
    <row r="59" spans="1:36" s="316" customFormat="1" x14ac:dyDescent="0.25">
      <c r="A59" s="316" t="s">
        <v>36</v>
      </c>
      <c r="B59" s="370"/>
      <c r="C59" s="370"/>
      <c r="D59" s="347"/>
      <c r="E59" s="370"/>
      <c r="F59" s="371">
        <v>65351</v>
      </c>
      <c r="G59" s="370">
        <v>64288</v>
      </c>
      <c r="H59" s="370"/>
      <c r="I59" s="370">
        <v>63852</v>
      </c>
      <c r="J59" s="370"/>
      <c r="K59" s="370">
        <v>58602</v>
      </c>
      <c r="L59" s="372"/>
      <c r="M59" s="370"/>
      <c r="N59" s="371">
        <v>75111</v>
      </c>
      <c r="O59" s="370">
        <v>76435</v>
      </c>
      <c r="P59" s="370"/>
      <c r="Q59" s="370">
        <v>78721</v>
      </c>
      <c r="R59" s="370"/>
      <c r="S59" s="370">
        <v>68495</v>
      </c>
      <c r="T59" s="372"/>
      <c r="U59" s="370"/>
      <c r="V59" s="371">
        <v>81585</v>
      </c>
      <c r="W59" s="370">
        <v>79068</v>
      </c>
      <c r="X59" s="370"/>
      <c r="Y59" s="370">
        <v>77608</v>
      </c>
      <c r="Z59" s="370"/>
      <c r="AA59" s="370">
        <v>75198</v>
      </c>
      <c r="AB59" s="372"/>
      <c r="AD59" s="371">
        <v>0</v>
      </c>
      <c r="AE59" s="370">
        <v>0</v>
      </c>
      <c r="AF59" s="370"/>
      <c r="AG59" s="370">
        <v>73064</v>
      </c>
      <c r="AH59" s="370"/>
      <c r="AI59" s="370">
        <v>76827</v>
      </c>
      <c r="AJ59" s="372"/>
    </row>
    <row r="60" spans="1:36" s="316" customFormat="1" x14ac:dyDescent="0.25">
      <c r="A60" s="274"/>
      <c r="B60" s="370"/>
      <c r="C60" s="370"/>
      <c r="D60" s="347"/>
      <c r="E60" s="370"/>
      <c r="F60" s="371"/>
      <c r="G60" s="370"/>
      <c r="H60" s="370"/>
      <c r="I60" s="370"/>
      <c r="J60" s="370"/>
      <c r="K60" s="370"/>
      <c r="L60" s="372"/>
      <c r="M60" s="370"/>
      <c r="N60" s="371"/>
      <c r="O60" s="370"/>
      <c r="P60" s="370"/>
      <c r="Q60" s="370"/>
      <c r="R60" s="370"/>
      <c r="S60" s="370"/>
      <c r="T60" s="372"/>
      <c r="U60" s="370"/>
      <c r="V60" s="371"/>
      <c r="W60" s="370"/>
      <c r="X60" s="370"/>
      <c r="Y60" s="370"/>
      <c r="Z60" s="370"/>
      <c r="AA60" s="370"/>
      <c r="AB60" s="372"/>
      <c r="AC60" s="274"/>
      <c r="AD60" s="371"/>
      <c r="AE60" s="370"/>
      <c r="AF60" s="370"/>
      <c r="AG60" s="370"/>
      <c r="AH60" s="370"/>
      <c r="AI60" s="370"/>
      <c r="AJ60" s="372"/>
    </row>
    <row r="61" spans="1:36" s="316" customFormat="1" x14ac:dyDescent="0.25">
      <c r="A61" s="316" t="s">
        <v>66</v>
      </c>
      <c r="B61" s="370"/>
      <c r="C61" s="370"/>
      <c r="D61" s="347"/>
      <c r="E61" s="370"/>
      <c r="F61" s="371">
        <v>86</v>
      </c>
      <c r="G61" s="394">
        <f>H61-F61</f>
        <v>171</v>
      </c>
      <c r="H61" s="370">
        <v>257</v>
      </c>
      <c r="I61" s="394">
        <f>J61-H61</f>
        <v>85</v>
      </c>
      <c r="J61" s="370">
        <v>342</v>
      </c>
      <c r="K61" s="394">
        <f>L61-J61</f>
        <v>139</v>
      </c>
      <c r="L61" s="372">
        <v>481</v>
      </c>
      <c r="M61" s="370"/>
      <c r="N61" s="371">
        <v>158</v>
      </c>
      <c r="O61" s="394">
        <f>P61-N61</f>
        <v>145</v>
      </c>
      <c r="P61" s="370">
        <v>303</v>
      </c>
      <c r="Q61" s="394">
        <f>R61-P61</f>
        <v>322</v>
      </c>
      <c r="R61" s="370">
        <v>625</v>
      </c>
      <c r="S61" s="394">
        <f>T61-R61</f>
        <v>22</v>
      </c>
      <c r="T61" s="372">
        <v>647</v>
      </c>
      <c r="U61" s="370"/>
      <c r="V61" s="371">
        <v>210</v>
      </c>
      <c r="W61" s="370">
        <f>X61-V61</f>
        <v>634</v>
      </c>
      <c r="X61" s="370">
        <v>844</v>
      </c>
      <c r="Y61" s="370">
        <f>Z61-X61</f>
        <v>302</v>
      </c>
      <c r="Z61" s="370">
        <v>1146</v>
      </c>
      <c r="AA61" s="370">
        <f>AB61-Z61</f>
        <v>349</v>
      </c>
      <c r="AB61" s="372">
        <v>1495</v>
      </c>
      <c r="AD61" s="371">
        <v>0</v>
      </c>
      <c r="AE61" s="370">
        <v>0</v>
      </c>
      <c r="AF61" s="370">
        <v>0</v>
      </c>
      <c r="AG61" s="370">
        <f>AH61-AF61</f>
        <v>509</v>
      </c>
      <c r="AH61" s="370">
        <v>509</v>
      </c>
      <c r="AI61" s="370">
        <f>AJ61-AH61</f>
        <v>85</v>
      </c>
      <c r="AJ61" s="372">
        <v>594</v>
      </c>
    </row>
    <row r="62" spans="1:36" s="316" customFormat="1" x14ac:dyDescent="0.25">
      <c r="B62" s="370"/>
      <c r="C62" s="370"/>
      <c r="D62" s="347"/>
      <c r="E62" s="370"/>
      <c r="F62" s="371"/>
      <c r="G62" s="370"/>
      <c r="H62" s="370"/>
      <c r="I62" s="370"/>
      <c r="J62" s="370"/>
      <c r="K62" s="370"/>
      <c r="L62" s="372"/>
      <c r="M62" s="370"/>
      <c r="N62" s="371"/>
      <c r="O62" s="370"/>
      <c r="P62" s="370"/>
      <c r="Q62" s="370"/>
      <c r="R62" s="370"/>
      <c r="S62" s="370"/>
      <c r="T62" s="372"/>
      <c r="U62" s="370"/>
      <c r="V62" s="371"/>
      <c r="W62" s="370"/>
      <c r="X62" s="370"/>
      <c r="Y62" s="370"/>
      <c r="Z62" s="370"/>
      <c r="AA62" s="370"/>
      <c r="AB62" s="372"/>
      <c r="AD62" s="371"/>
      <c r="AE62" s="370"/>
      <c r="AF62" s="370"/>
      <c r="AG62" s="370"/>
      <c r="AH62" s="370"/>
      <c r="AI62" s="370"/>
      <c r="AJ62" s="372"/>
    </row>
    <row r="63" spans="1:36" s="316" customFormat="1" x14ac:dyDescent="0.25">
      <c r="A63" s="376" t="s">
        <v>67</v>
      </c>
      <c r="B63" s="370"/>
      <c r="C63" s="370"/>
      <c r="D63" s="347"/>
      <c r="E63" s="370"/>
      <c r="F63" s="371"/>
      <c r="G63" s="370"/>
      <c r="H63" s="370"/>
      <c r="I63" s="370"/>
      <c r="J63" s="370"/>
      <c r="K63" s="370"/>
      <c r="L63" s="372"/>
      <c r="M63" s="370"/>
      <c r="N63" s="371"/>
      <c r="O63" s="370"/>
      <c r="P63" s="370"/>
      <c r="Q63" s="370"/>
      <c r="R63" s="370"/>
      <c r="S63" s="370"/>
      <c r="T63" s="372"/>
      <c r="U63" s="370"/>
      <c r="V63" s="371"/>
      <c r="W63" s="370"/>
      <c r="X63" s="370"/>
      <c r="Y63" s="370"/>
      <c r="Z63" s="370"/>
      <c r="AA63" s="370"/>
      <c r="AB63" s="372"/>
      <c r="AD63" s="371"/>
      <c r="AE63" s="370"/>
      <c r="AF63" s="370"/>
      <c r="AG63" s="370"/>
      <c r="AH63" s="370"/>
      <c r="AI63" s="370"/>
      <c r="AJ63" s="372"/>
    </row>
    <row r="64" spans="1:36" s="316" customFormat="1" x14ac:dyDescent="0.25">
      <c r="A64" s="316" t="s">
        <v>68</v>
      </c>
      <c r="B64" s="370"/>
      <c r="C64" s="370"/>
      <c r="D64" s="347"/>
      <c r="E64" s="370"/>
      <c r="F64" s="371"/>
      <c r="G64" s="370"/>
      <c r="H64" s="370"/>
      <c r="I64" s="370"/>
      <c r="J64" s="370"/>
      <c r="K64" s="395">
        <v>0.76600000000000001</v>
      </c>
      <c r="L64" s="372"/>
      <c r="M64" s="370"/>
      <c r="N64" s="371"/>
      <c r="O64" s="370"/>
      <c r="P64" s="370"/>
      <c r="Q64" s="370"/>
      <c r="R64" s="370"/>
      <c r="S64" s="395">
        <v>0.76600000000000001</v>
      </c>
      <c r="T64" s="372"/>
      <c r="U64" s="370"/>
      <c r="V64" s="371"/>
      <c r="W64" s="370"/>
      <c r="X64" s="370"/>
      <c r="Y64" s="370"/>
      <c r="Z64" s="370"/>
      <c r="AA64" s="395">
        <v>0.76600000000000001</v>
      </c>
      <c r="AB64" s="372"/>
      <c r="AD64" s="371"/>
      <c r="AE64" s="370"/>
      <c r="AF64" s="370"/>
      <c r="AG64" s="370"/>
      <c r="AH64" s="370"/>
      <c r="AI64" s="395">
        <v>0.76600000000000001</v>
      </c>
      <c r="AJ64" s="372"/>
    </row>
    <row r="65" spans="1:36" ht="15.75" thickBot="1" x14ac:dyDescent="0.3">
      <c r="A65" s="316" t="s">
        <v>69</v>
      </c>
      <c r="B65" s="370"/>
      <c r="C65" s="370"/>
      <c r="D65" s="396"/>
      <c r="E65" s="370"/>
      <c r="F65" s="397"/>
      <c r="G65" s="398"/>
      <c r="H65" s="398"/>
      <c r="I65" s="398"/>
      <c r="J65" s="398"/>
      <c r="K65" s="399">
        <v>0.68100000000000005</v>
      </c>
      <c r="L65" s="400"/>
      <c r="M65" s="370"/>
      <c r="N65" s="397"/>
      <c r="O65" s="398"/>
      <c r="P65" s="398"/>
      <c r="Q65" s="398"/>
      <c r="R65" s="398"/>
      <c r="S65" s="399">
        <v>0.67</v>
      </c>
      <c r="T65" s="400"/>
      <c r="U65" s="370"/>
      <c r="V65" s="397"/>
      <c r="W65" s="398"/>
      <c r="X65" s="398"/>
      <c r="Y65" s="398"/>
      <c r="Z65" s="398"/>
      <c r="AA65" s="399">
        <v>0.65600000000000003</v>
      </c>
      <c r="AB65" s="400"/>
      <c r="AC65" s="316"/>
      <c r="AD65" s="397"/>
      <c r="AE65" s="398"/>
      <c r="AF65" s="398"/>
      <c r="AG65" s="398"/>
      <c r="AH65" s="398"/>
      <c r="AI65" s="399">
        <v>0.65600000000000003</v>
      </c>
      <c r="AJ65" s="400"/>
    </row>
    <row r="66" spans="1:36" s="393" customFormat="1" x14ac:dyDescent="0.25">
      <c r="A66" s="316"/>
      <c r="B66" s="401"/>
      <c r="C66" s="401"/>
      <c r="D66" s="401"/>
      <c r="E66" s="401"/>
      <c r="F66" s="401"/>
      <c r="G66" s="401"/>
      <c r="H66" s="401"/>
      <c r="I66" s="401"/>
      <c r="J66" s="401"/>
      <c r="K66" s="401"/>
      <c r="L66" s="401"/>
      <c r="M66" s="401"/>
      <c r="N66" s="401"/>
      <c r="O66" s="401"/>
      <c r="P66" s="401"/>
      <c r="Q66" s="401"/>
      <c r="R66" s="401"/>
      <c r="S66" s="401"/>
      <c r="T66" s="401"/>
      <c r="U66" s="401"/>
      <c r="V66" s="401"/>
      <c r="W66" s="401"/>
      <c r="X66" s="402"/>
      <c r="Y66" s="402"/>
      <c r="Z66" s="402"/>
      <c r="AA66" s="402"/>
      <c r="AB66" s="402"/>
      <c r="AC66" s="402"/>
      <c r="AD66" s="402"/>
      <c r="AE66" s="402"/>
      <c r="AF66" s="402"/>
      <c r="AG66" s="402"/>
      <c r="AH66" s="402"/>
      <c r="AI66" s="402"/>
      <c r="AJ66" s="402"/>
    </row>
    <row r="67" spans="1:36" hidden="1" outlineLevel="1" x14ac:dyDescent="0.25">
      <c r="A67" s="274" t="s">
        <v>37</v>
      </c>
      <c r="B67" s="403"/>
      <c r="C67" s="403"/>
      <c r="D67" s="403">
        <f>D21-D22-D23</f>
        <v>0</v>
      </c>
      <c r="E67" s="403"/>
      <c r="F67" s="403">
        <f>F21-F22-F23</f>
        <v>0</v>
      </c>
      <c r="G67" s="403">
        <f>G21-G22-G23</f>
        <v>0</v>
      </c>
      <c r="H67" s="403">
        <f>H21-H22-H23</f>
        <v>0</v>
      </c>
      <c r="I67" s="403">
        <f>I21-I22-I23</f>
        <v>0</v>
      </c>
      <c r="J67" s="403">
        <f>J21-J22-J23</f>
        <v>0</v>
      </c>
      <c r="K67" s="403">
        <f t="shared" ref="K67:L67" si="4">K21-K22-K23</f>
        <v>0</v>
      </c>
      <c r="L67" s="403">
        <f t="shared" si="4"/>
        <v>0</v>
      </c>
      <c r="N67" s="403">
        <f>N21-N22-N23</f>
        <v>0</v>
      </c>
      <c r="O67" s="403">
        <f t="shared" ref="O67:P67" si="5">O21-O22-O23</f>
        <v>0</v>
      </c>
      <c r="P67" s="403">
        <f t="shared" si="5"/>
        <v>0</v>
      </c>
      <c r="Q67" s="403">
        <f t="shared" ref="Q67:R67" si="6">Q21-Q22-Q23</f>
        <v>0</v>
      </c>
      <c r="R67" s="403">
        <f t="shared" si="6"/>
        <v>0</v>
      </c>
      <c r="S67" s="403">
        <f t="shared" ref="S67:T67" si="7">S21-S22-S23</f>
        <v>0</v>
      </c>
      <c r="T67" s="403">
        <f t="shared" si="7"/>
        <v>0</v>
      </c>
      <c r="V67" s="403">
        <f>V21-V22-V23</f>
        <v>0</v>
      </c>
      <c r="W67" s="403">
        <f t="shared" ref="W67:AB67" si="8">W21-W22-W23</f>
        <v>0</v>
      </c>
      <c r="X67" s="403">
        <f t="shared" si="8"/>
        <v>0</v>
      </c>
      <c r="Y67" s="403">
        <f t="shared" si="8"/>
        <v>0</v>
      </c>
      <c r="Z67" s="403">
        <f t="shared" si="8"/>
        <v>0</v>
      </c>
      <c r="AA67" s="403">
        <f t="shared" si="8"/>
        <v>0</v>
      </c>
      <c r="AB67" s="403">
        <f t="shared" si="8"/>
        <v>0</v>
      </c>
      <c r="AC67" s="402"/>
      <c r="AD67" s="403">
        <f>AD21-AD22-AD23</f>
        <v>0</v>
      </c>
      <c r="AE67" s="403">
        <f t="shared" ref="AE67:AJ67" si="9">AE21-AE22-AE23</f>
        <v>0</v>
      </c>
      <c r="AF67" s="403">
        <f t="shared" si="9"/>
        <v>0</v>
      </c>
      <c r="AG67" s="403">
        <f t="shared" si="9"/>
        <v>0</v>
      </c>
      <c r="AH67" s="403">
        <f t="shared" si="9"/>
        <v>0</v>
      </c>
      <c r="AI67" s="403">
        <f t="shared" si="9"/>
        <v>0</v>
      </c>
      <c r="AJ67" s="403">
        <f t="shared" si="9"/>
        <v>0</v>
      </c>
    </row>
    <row r="68" spans="1:36" hidden="1" outlineLevel="1" x14ac:dyDescent="0.25">
      <c r="A68" s="404" t="s">
        <v>38</v>
      </c>
      <c r="B68" s="403"/>
      <c r="C68" s="403"/>
      <c r="D68" s="403">
        <f>D23-SUM(D24:D27)-D28</f>
        <v>0</v>
      </c>
      <c r="E68" s="403"/>
      <c r="F68" s="403">
        <f>F23-SUM(F24:F27)-F28</f>
        <v>0</v>
      </c>
      <c r="G68" s="403">
        <f>G23-SUM(G24:G27)-G28</f>
        <v>0</v>
      </c>
      <c r="H68" s="403">
        <f>H23-SUM(H24:H27)-H28</f>
        <v>0</v>
      </c>
      <c r="I68" s="403">
        <f>I23-SUM(I24:I27)-I28</f>
        <v>0</v>
      </c>
      <c r="J68" s="403">
        <f>J23-SUM(J24:J27)-J28</f>
        <v>0</v>
      </c>
      <c r="K68" s="403">
        <f t="shared" ref="K68:L68" si="10">K23-SUM(K24:K27)-K28</f>
        <v>0</v>
      </c>
      <c r="L68" s="403">
        <f t="shared" si="10"/>
        <v>0</v>
      </c>
      <c r="N68" s="403">
        <f>N23-SUM(N24:N27)-N28</f>
        <v>0</v>
      </c>
      <c r="O68" s="403">
        <f t="shared" ref="O68:Q68" si="11">O23-SUM(O24:O27)-O28</f>
        <v>0</v>
      </c>
      <c r="P68" s="403">
        <f>P23-SUM(P24:P27)-P28</f>
        <v>0</v>
      </c>
      <c r="Q68" s="403">
        <f t="shared" si="11"/>
        <v>0</v>
      </c>
      <c r="R68" s="403">
        <f>R23-SUM(R24:R27)-R28</f>
        <v>0</v>
      </c>
      <c r="S68" s="403">
        <f>S23-SUM(S24:S27)-S28</f>
        <v>0</v>
      </c>
      <c r="T68" s="403">
        <f>T23-SUM(T24:T27)-T28</f>
        <v>0</v>
      </c>
      <c r="V68" s="403">
        <f>V23-SUM(V24:V27)-V28</f>
        <v>0</v>
      </c>
      <c r="W68" s="403">
        <f t="shared" ref="W68" si="12">W23-SUM(W24:W27)-W28</f>
        <v>0</v>
      </c>
      <c r="X68" s="403">
        <f>X23-SUM(X24:X27)-X28</f>
        <v>0</v>
      </c>
      <c r="Y68" s="403">
        <f t="shared" ref="Y68" si="13">Y23-SUM(Y24:Y27)-Y28</f>
        <v>0</v>
      </c>
      <c r="Z68" s="403">
        <f>Z23-SUM(Z24:Z27)-Z28</f>
        <v>0</v>
      </c>
      <c r="AA68" s="403">
        <f>AA23-SUM(AA24:AA27)-AA28</f>
        <v>0</v>
      </c>
      <c r="AB68" s="403">
        <f>AB23-SUM(AB24:AB27)-AB28</f>
        <v>0</v>
      </c>
      <c r="AC68" s="402"/>
      <c r="AD68" s="403">
        <f>AD23-SUM(AD24:AD27)-AD28</f>
        <v>0</v>
      </c>
      <c r="AE68" s="403">
        <f t="shared" ref="AE68" si="14">AE23-SUM(AE24:AE27)-AE28</f>
        <v>0</v>
      </c>
      <c r="AF68" s="403">
        <f>AF23-SUM(AF24:AF27)-AF28</f>
        <v>0</v>
      </c>
      <c r="AG68" s="403">
        <f t="shared" ref="AG68" si="15">AG23-SUM(AG24:AG27)-AG28</f>
        <v>0</v>
      </c>
      <c r="AH68" s="403">
        <f>AH23-SUM(AH24:AH27)-AH28</f>
        <v>0</v>
      </c>
      <c r="AI68" s="403">
        <f>AI23-SUM(AI24:AI27)-AI28</f>
        <v>0</v>
      </c>
      <c r="AJ68" s="403">
        <f>AJ23-SUM(AJ24:AJ27)-AJ28</f>
        <v>0</v>
      </c>
    </row>
    <row r="69" spans="1:36" hidden="1" outlineLevel="1" x14ac:dyDescent="0.25">
      <c r="A69" s="404" t="s">
        <v>24</v>
      </c>
      <c r="B69" s="403"/>
      <c r="C69" s="403"/>
      <c r="D69" s="403">
        <f>D28-SUM(D29:D32)-D33</f>
        <v>0</v>
      </c>
      <c r="E69" s="403"/>
      <c r="F69" s="403">
        <f>F28-SUM(F29:F32)-F33</f>
        <v>0</v>
      </c>
      <c r="G69" s="403">
        <f>G28-SUM(G29:G32)-G33</f>
        <v>0</v>
      </c>
      <c r="H69" s="403">
        <f>H28-SUM(H29:H32)-H33</f>
        <v>0</v>
      </c>
      <c r="I69" s="403">
        <f>I28-SUM(I29:I32)-I33</f>
        <v>0</v>
      </c>
      <c r="J69" s="403">
        <f>J28-SUM(J29:J32)-J33</f>
        <v>0</v>
      </c>
      <c r="K69" s="403">
        <f t="shared" ref="K69:L69" si="16">K28-SUM(K29:K32)-K33</f>
        <v>0</v>
      </c>
      <c r="L69" s="403">
        <f t="shared" si="16"/>
        <v>0</v>
      </c>
      <c r="N69" s="403">
        <f>N28-SUM(N29:N32)-N33</f>
        <v>0</v>
      </c>
      <c r="O69" s="403">
        <f t="shared" ref="O69:Q69" si="17">O28-SUM(O29:O32)-O33</f>
        <v>0</v>
      </c>
      <c r="P69" s="403">
        <f>P28-SUM(P29:P32)-P33</f>
        <v>0</v>
      </c>
      <c r="Q69" s="403">
        <f t="shared" si="17"/>
        <v>0</v>
      </c>
      <c r="R69" s="403">
        <f>R28-SUM(R29:R32)-R33</f>
        <v>0</v>
      </c>
      <c r="S69" s="403">
        <f>S28-SUM(S29:S32)-S33</f>
        <v>0</v>
      </c>
      <c r="T69" s="403">
        <f>T28-SUM(T29:T32)-T33</f>
        <v>0</v>
      </c>
      <c r="V69" s="403">
        <f>V28-SUM(V29:V32)-V33</f>
        <v>0</v>
      </c>
      <c r="W69" s="403">
        <f t="shared" ref="W69" si="18">W28-SUM(W29:W32)-W33</f>
        <v>0</v>
      </c>
      <c r="X69" s="403">
        <f>X28-SUM(X29:X32)-X33</f>
        <v>0</v>
      </c>
      <c r="Y69" s="403">
        <f t="shared" ref="Y69" si="19">Y28-SUM(Y29:Y32)-Y33</f>
        <v>0</v>
      </c>
      <c r="Z69" s="403">
        <f>Z28-SUM(Z29:Z32)-Z33</f>
        <v>0</v>
      </c>
      <c r="AA69" s="403">
        <f>AA28-SUM(AA29:AA32)-AA33</f>
        <v>0</v>
      </c>
      <c r="AB69" s="403">
        <f>AB28-SUM(AB29:AB32)-AB33</f>
        <v>0</v>
      </c>
      <c r="AC69" s="402"/>
      <c r="AD69" s="403">
        <f>AD28-SUM(AD29:AD32)-AD33</f>
        <v>0</v>
      </c>
      <c r="AE69" s="403">
        <f t="shared" ref="AE69" si="20">AE28-SUM(AE29:AE32)-AE33</f>
        <v>0</v>
      </c>
      <c r="AF69" s="403">
        <f>AF28-SUM(AF29:AF32)-AF33</f>
        <v>0</v>
      </c>
      <c r="AG69" s="403">
        <f t="shared" ref="AG69" si="21">AG28-SUM(AG29:AG32)-AG33</f>
        <v>0</v>
      </c>
      <c r="AH69" s="403">
        <f>AH28-SUM(AH29:AH32)-AH33</f>
        <v>0</v>
      </c>
      <c r="AI69" s="403">
        <f>AI28-SUM(AI29:AI32)-AI33</f>
        <v>0</v>
      </c>
      <c r="AJ69" s="403">
        <f>AJ28-SUM(AJ29:AJ32)-AJ33</f>
        <v>0</v>
      </c>
    </row>
    <row r="70" spans="1:36" hidden="1" outlineLevel="1" x14ac:dyDescent="0.25">
      <c r="A70" s="404" t="s">
        <v>57</v>
      </c>
      <c r="B70" s="404"/>
      <c r="C70" s="404"/>
      <c r="D70" s="403"/>
      <c r="E70" s="404"/>
      <c r="F70" s="403">
        <f>SUM(F33:F39)-F40</f>
        <v>0</v>
      </c>
      <c r="G70" s="403">
        <f>SUM(G33:G39)-G40</f>
        <v>0</v>
      </c>
      <c r="H70" s="403">
        <f>SUM(H33:H39)-H40</f>
        <v>0</v>
      </c>
      <c r="I70" s="403">
        <f>SUM(I33:I39)-I40</f>
        <v>0</v>
      </c>
      <c r="J70" s="403">
        <f>SUM(J33:J39)-J40</f>
        <v>0</v>
      </c>
      <c r="K70" s="403">
        <f t="shared" ref="K70:L70" si="22">SUM(K33:K39)-K40</f>
        <v>0</v>
      </c>
      <c r="L70" s="403">
        <f t="shared" si="22"/>
        <v>0</v>
      </c>
      <c r="N70" s="403">
        <f>SUM(N33:N39)-N40</f>
        <v>0</v>
      </c>
      <c r="O70" s="403">
        <f t="shared" ref="O70:Q70" si="23">SUM(O33:O39)-O40</f>
        <v>0</v>
      </c>
      <c r="P70" s="403">
        <f>SUM(P33:P39)-P40</f>
        <v>0</v>
      </c>
      <c r="Q70" s="403">
        <f t="shared" si="23"/>
        <v>0</v>
      </c>
      <c r="R70" s="403">
        <f>SUM(R33:R39)-R40</f>
        <v>0</v>
      </c>
      <c r="S70" s="403">
        <f>SUM(S33:S39)-S40</f>
        <v>0</v>
      </c>
      <c r="T70" s="403">
        <f>SUM(T33:T39)-T40</f>
        <v>0</v>
      </c>
      <c r="V70" s="403">
        <f>SUM(V33:V39)-V40</f>
        <v>0</v>
      </c>
      <c r="W70" s="403">
        <f t="shared" ref="W70" si="24">SUM(W33:W39)-W40</f>
        <v>0</v>
      </c>
      <c r="X70" s="403">
        <f>SUM(X33:X39)-X40</f>
        <v>0</v>
      </c>
      <c r="Y70" s="403">
        <f t="shared" ref="Y70" si="25">SUM(Y33:Y39)-Y40</f>
        <v>0</v>
      </c>
      <c r="Z70" s="403">
        <f>SUM(Z33:Z39)-Z40</f>
        <v>0</v>
      </c>
      <c r="AA70" s="403">
        <f>SUM(AA33:AA39)-AA40</f>
        <v>0</v>
      </c>
      <c r="AB70" s="403">
        <f>SUM(AB33:AB39)-AB40</f>
        <v>0</v>
      </c>
      <c r="AC70" s="402"/>
      <c r="AD70" s="403">
        <f>SUM(AD33:AD39)-AD40</f>
        <v>0</v>
      </c>
      <c r="AE70" s="403">
        <f t="shared" ref="AE70" si="26">SUM(AE33:AE39)-AE40</f>
        <v>0</v>
      </c>
      <c r="AF70" s="403">
        <f>SUM(AF33:AF39)-AF40</f>
        <v>0</v>
      </c>
      <c r="AG70" s="403">
        <f t="shared" ref="AG70" si="27">SUM(AG33:AG39)-AG40</f>
        <v>0</v>
      </c>
      <c r="AH70" s="403">
        <f>SUM(AH33:AH39)-AH40</f>
        <v>0</v>
      </c>
      <c r="AI70" s="403">
        <f>SUM(AI33:AI39)-AI40</f>
        <v>0</v>
      </c>
      <c r="AJ70" s="403">
        <f>SUM(AJ33:AJ39)-AJ40</f>
        <v>0</v>
      </c>
    </row>
    <row r="71" spans="1:36" hidden="1" outlineLevel="1" x14ac:dyDescent="0.25">
      <c r="A71" s="404" t="s">
        <v>147</v>
      </c>
      <c r="B71" s="404"/>
      <c r="C71" s="404"/>
      <c r="D71" s="403"/>
      <c r="E71" s="404"/>
      <c r="F71" s="403">
        <f>SUM(F40:F49)-F50</f>
        <v>0</v>
      </c>
      <c r="G71" s="403">
        <f>SUM(G40:G49)-G50</f>
        <v>0</v>
      </c>
      <c r="H71" s="403">
        <f>SUM(H40:H49)-H50</f>
        <v>0</v>
      </c>
      <c r="I71" s="403">
        <f>SUM(I40:I49)-I50</f>
        <v>0</v>
      </c>
      <c r="J71" s="403">
        <f>SUM(J40:J49)-J50</f>
        <v>0</v>
      </c>
      <c r="K71" s="403">
        <f t="shared" ref="K71:L71" si="28">SUM(K40:K49)-K50</f>
        <v>0</v>
      </c>
      <c r="L71" s="403">
        <f t="shared" si="28"/>
        <v>0</v>
      </c>
      <c r="N71" s="403">
        <f>SUM(N40:N49)-N50</f>
        <v>0</v>
      </c>
      <c r="O71" s="403">
        <f t="shared" ref="O71:P71" si="29">SUM(O40:O49)-O50</f>
        <v>0</v>
      </c>
      <c r="P71" s="403">
        <f t="shared" si="29"/>
        <v>0</v>
      </c>
      <c r="Q71" s="403">
        <f t="shared" ref="Q71" si="30">SUM(Q40:Q49)-Q50</f>
        <v>0</v>
      </c>
      <c r="R71" s="403">
        <f>SUM(R40:R49)-R50</f>
        <v>0</v>
      </c>
      <c r="S71" s="403">
        <f>SUM(S40:S49)-S50</f>
        <v>0</v>
      </c>
      <c r="T71" s="403">
        <f>SUM(T40:T49)-T50</f>
        <v>0</v>
      </c>
      <c r="V71" s="403">
        <f>SUM(V40:V49)-V50</f>
        <v>0</v>
      </c>
      <c r="W71" s="403">
        <f t="shared" ref="W71:X71" si="31">SUM(W40:W49)-W50</f>
        <v>0</v>
      </c>
      <c r="X71" s="403">
        <f t="shared" si="31"/>
        <v>0</v>
      </c>
      <c r="Y71" s="403">
        <f t="shared" ref="Y71" si="32">SUM(Y40:Y49)-Y50</f>
        <v>0</v>
      </c>
      <c r="Z71" s="403">
        <f>SUM(Z40:Z49)-Z50</f>
        <v>0</v>
      </c>
      <c r="AA71" s="403">
        <f>SUM(AA40:AA49)-AA50</f>
        <v>0</v>
      </c>
      <c r="AB71" s="403">
        <f>SUM(AB40:AB49)-AB50</f>
        <v>0</v>
      </c>
      <c r="AC71" s="402"/>
      <c r="AD71" s="403">
        <f>SUM(AD40:AD49)-AD50</f>
        <v>0</v>
      </c>
      <c r="AE71" s="403">
        <f t="shared" ref="AE71:AF71" si="33">SUM(AE40:AE49)-AE50</f>
        <v>0</v>
      </c>
      <c r="AF71" s="403">
        <f t="shared" si="33"/>
        <v>0</v>
      </c>
      <c r="AG71" s="403">
        <f t="shared" ref="AG71" si="34">SUM(AG40:AG49)-AG50</f>
        <v>0</v>
      </c>
      <c r="AH71" s="403">
        <f>SUM(AH40:AH49)-AH50</f>
        <v>0</v>
      </c>
      <c r="AI71" s="403">
        <f>SUM(AI40:AI49)-AI50</f>
        <v>0</v>
      </c>
      <c r="AJ71" s="403">
        <f>SUM(AJ40:AJ49)-AJ50</f>
        <v>0</v>
      </c>
    </row>
    <row r="72" spans="1:36" hidden="1" outlineLevel="1" x14ac:dyDescent="0.25">
      <c r="A72" s="404" t="s">
        <v>39</v>
      </c>
      <c r="B72" s="404"/>
      <c r="C72" s="404"/>
      <c r="D72" s="403"/>
      <c r="E72" s="404"/>
      <c r="F72" s="403">
        <f t="shared" ref="F72:K72" si="35">SUM(F55:F56)-F57</f>
        <v>0</v>
      </c>
      <c r="G72" s="403">
        <f t="shared" si="35"/>
        <v>0</v>
      </c>
      <c r="H72" s="403">
        <f t="shared" si="35"/>
        <v>0</v>
      </c>
      <c r="I72" s="403">
        <f t="shared" si="35"/>
        <v>0</v>
      </c>
      <c r="J72" s="403">
        <f t="shared" si="35"/>
        <v>0</v>
      </c>
      <c r="K72" s="403">
        <f t="shared" si="35"/>
        <v>0</v>
      </c>
      <c r="L72" s="403">
        <f t="shared" ref="L72" si="36">SUM(L55:L56)-L57</f>
        <v>0</v>
      </c>
      <c r="N72" s="403">
        <f>SUM(N55:N56)-N57</f>
        <v>0</v>
      </c>
      <c r="O72" s="403">
        <f t="shared" ref="O72:P72" si="37">SUM(O55:O56)-O57</f>
        <v>0</v>
      </c>
      <c r="P72" s="403">
        <f t="shared" si="37"/>
        <v>0</v>
      </c>
      <c r="Q72" s="403">
        <f t="shared" ref="Q72:R72" si="38">SUM(Q55:Q56)-Q57</f>
        <v>0</v>
      </c>
      <c r="R72" s="403">
        <f t="shared" si="38"/>
        <v>0</v>
      </c>
      <c r="S72" s="403">
        <f t="shared" ref="S72:T72" si="39">SUM(S55:S56)-S57</f>
        <v>0</v>
      </c>
      <c r="T72" s="403">
        <f t="shared" si="39"/>
        <v>0</v>
      </c>
      <c r="V72" s="403">
        <f>SUM(V55:V56)-V57</f>
        <v>0</v>
      </c>
      <c r="W72" s="403">
        <f t="shared" ref="W72:X72" si="40">SUM(W55:W56)-W57</f>
        <v>0</v>
      </c>
      <c r="X72" s="403">
        <f t="shared" si="40"/>
        <v>0</v>
      </c>
      <c r="Y72" s="403">
        <f t="shared" ref="Y72:Z72" si="41">SUM(Y55:Y56)-Y57</f>
        <v>0</v>
      </c>
      <c r="Z72" s="403">
        <f t="shared" si="41"/>
        <v>0</v>
      </c>
      <c r="AA72" s="403">
        <f t="shared" ref="AA72:AB72" si="42">SUM(AA55:AA56)-AA57</f>
        <v>0</v>
      </c>
      <c r="AB72" s="403">
        <f t="shared" si="42"/>
        <v>0</v>
      </c>
      <c r="AC72" s="402"/>
      <c r="AD72" s="403">
        <f>SUM(AD55:AD56)-AD57</f>
        <v>0</v>
      </c>
      <c r="AE72" s="403">
        <f t="shared" ref="AE72:AF72" si="43">SUM(AE55:AE56)-AE57</f>
        <v>0</v>
      </c>
      <c r="AF72" s="403">
        <f t="shared" si="43"/>
        <v>0</v>
      </c>
      <c r="AG72" s="403">
        <f t="shared" ref="AG72:AH72" si="44">SUM(AG55:AG56)-AG57</f>
        <v>0</v>
      </c>
      <c r="AH72" s="403">
        <f t="shared" si="44"/>
        <v>0</v>
      </c>
      <c r="AI72" s="403">
        <f t="shared" ref="AI72:AJ72" si="45">SUM(AI55:AI56)-AI57</f>
        <v>0</v>
      </c>
      <c r="AJ72" s="403">
        <f t="shared" si="45"/>
        <v>0</v>
      </c>
    </row>
    <row r="73" spans="1:36" hidden="1" outlineLevel="1" x14ac:dyDescent="0.25">
      <c r="A73" s="404" t="s">
        <v>40</v>
      </c>
      <c r="B73" s="404"/>
      <c r="C73" s="404"/>
      <c r="D73" s="403"/>
      <c r="E73" s="404"/>
      <c r="F73" s="403">
        <f>F53-F57-F59</f>
        <v>0</v>
      </c>
      <c r="G73" s="403">
        <f>G53-G57-G59</f>
        <v>0</v>
      </c>
      <c r="H73" s="403">
        <f>H53-H57-H59</f>
        <v>0</v>
      </c>
      <c r="I73" s="403">
        <f>I53-I57-I59</f>
        <v>0</v>
      </c>
      <c r="J73" s="403">
        <f>J53-J57-J59</f>
        <v>0</v>
      </c>
      <c r="K73" s="403">
        <f t="shared" ref="K73:L73" si="46">K53-K57-K59</f>
        <v>0</v>
      </c>
      <c r="L73" s="403">
        <f t="shared" si="46"/>
        <v>0</v>
      </c>
      <c r="N73" s="403">
        <f>N53-N57-N59</f>
        <v>0</v>
      </c>
      <c r="O73" s="403">
        <f t="shared" ref="O73:P73" si="47">O53-O57-O59</f>
        <v>0</v>
      </c>
      <c r="P73" s="403">
        <f t="shared" si="47"/>
        <v>0</v>
      </c>
      <c r="Q73" s="403">
        <f t="shared" ref="Q73:R73" si="48">Q53-Q57-Q59</f>
        <v>0</v>
      </c>
      <c r="R73" s="403">
        <f t="shared" si="48"/>
        <v>0</v>
      </c>
      <c r="S73" s="403">
        <f>S53-S57-S59</f>
        <v>0</v>
      </c>
      <c r="T73" s="403">
        <f t="shared" ref="T73" si="49">T53-T57-T59</f>
        <v>0</v>
      </c>
      <c r="V73" s="403">
        <f>V53-V57-V59</f>
        <v>0</v>
      </c>
      <c r="W73" s="403">
        <f t="shared" ref="W73:Z73" si="50">W53-W57-W59</f>
        <v>0</v>
      </c>
      <c r="X73" s="403">
        <f t="shared" si="50"/>
        <v>0</v>
      </c>
      <c r="Y73" s="403">
        <f t="shared" si="50"/>
        <v>0</v>
      </c>
      <c r="Z73" s="403">
        <f t="shared" si="50"/>
        <v>0</v>
      </c>
      <c r="AA73" s="403">
        <f>AA53-AA57-AA59</f>
        <v>0</v>
      </c>
      <c r="AB73" s="403">
        <f t="shared" ref="AB73" si="51">AB53-AB57-AB59</f>
        <v>0</v>
      </c>
      <c r="AC73" s="402"/>
      <c r="AD73" s="403">
        <f>AD53-AD57-AD59</f>
        <v>0</v>
      </c>
      <c r="AE73" s="403">
        <f t="shared" ref="AE73:AH73" si="52">AE53-AE57-AE59</f>
        <v>0</v>
      </c>
      <c r="AF73" s="403">
        <f t="shared" si="52"/>
        <v>0</v>
      </c>
      <c r="AG73" s="403">
        <f t="shared" si="52"/>
        <v>0</v>
      </c>
      <c r="AH73" s="403">
        <f t="shared" si="52"/>
        <v>0</v>
      </c>
      <c r="AI73" s="403">
        <f>AI53-AI57-AI59</f>
        <v>0</v>
      </c>
      <c r="AJ73" s="403">
        <f t="shared" ref="AJ73" si="53">AJ53-AJ57-AJ59</f>
        <v>0</v>
      </c>
    </row>
    <row r="74" spans="1:36" collapsed="1" x14ac:dyDescent="0.25"/>
  </sheetData>
  <mergeCells count="4">
    <mergeCell ref="V18:AB18"/>
    <mergeCell ref="AD18:AJ18"/>
    <mergeCell ref="N18:T18"/>
    <mergeCell ref="F18:L18"/>
  </mergeCells>
  <pageMargins left="0.7" right="0.7" top="0.75" bottom="0.75" header="0.3" footer="0.3"/>
  <pageSetup scale="81"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tint="0.59999389629810485"/>
    <pageSetUpPr fitToPage="1"/>
  </sheetPr>
  <dimension ref="A1:CK58"/>
  <sheetViews>
    <sheetView workbookViewId="0"/>
  </sheetViews>
  <sheetFormatPr defaultColWidth="9.140625" defaultRowHeight="15" outlineLevelRow="1" outlineLevelCol="1" x14ac:dyDescent="0.25"/>
  <cols>
    <col min="1" max="1" width="40.140625" style="4" customWidth="1"/>
    <col min="2" max="9" width="9" style="4" customWidth="1"/>
    <col min="10" max="10" width="3" style="4" customWidth="1"/>
    <col min="11" max="12" width="9" style="4" customWidth="1"/>
    <col min="13" max="13" width="8" style="4" hidden="1" customWidth="1" outlineLevel="1"/>
    <col min="14" max="14" width="12.5703125" style="4" customWidth="1" collapsed="1"/>
    <col min="15" max="15" width="11.5703125" style="4" hidden="1" customWidth="1" outlineLevel="1"/>
    <col min="16" max="16" width="12.28515625" style="4" customWidth="1" collapsed="1"/>
    <col min="17" max="17" width="8" style="4" customWidth="1"/>
    <col min="18" max="18" width="3" style="4" customWidth="1"/>
    <col min="19" max="20" width="9" style="67" customWidth="1"/>
    <col min="21" max="21" width="8" style="4" hidden="1" customWidth="1" outlineLevel="1"/>
    <col min="22" max="22" width="9" style="4" customWidth="1" collapsed="1"/>
    <col min="23" max="23" width="9" style="4" hidden="1" customWidth="1" outlineLevel="1"/>
    <col min="24" max="24" width="9" style="4" customWidth="1" collapsed="1"/>
    <col min="25" max="25" width="9" style="4" customWidth="1"/>
    <col min="26" max="26" width="3" style="4" customWidth="1"/>
    <col min="27" max="28" width="9" style="67" customWidth="1"/>
    <col min="29" max="29" width="8" style="4" hidden="1" customWidth="1" outlineLevel="1"/>
    <col min="30" max="30" width="9" style="4" customWidth="1" collapsed="1"/>
    <col min="31" max="31" width="9" style="4" hidden="1" customWidth="1" outlineLevel="1"/>
    <col min="32" max="32" width="9" style="4" customWidth="1" collapsed="1"/>
    <col min="33" max="33" width="9" style="4" customWidth="1"/>
    <col min="34" max="34" width="3" style="4" customWidth="1"/>
    <col min="35" max="36" width="9" style="4" customWidth="1"/>
    <col min="37" max="37" width="8" style="4" hidden="1" customWidth="1" outlineLevel="1"/>
    <col min="38" max="38" width="9" style="4" customWidth="1" collapsed="1"/>
    <col min="39" max="39" width="9" style="4" hidden="1" customWidth="1" outlineLevel="1"/>
    <col min="40" max="40" width="9" style="4" customWidth="1" collapsed="1"/>
    <col min="41" max="41" width="9" style="4" customWidth="1"/>
    <col min="42" max="42" width="3" style="4" customWidth="1"/>
    <col min="43" max="44" width="9" style="4" customWidth="1"/>
    <col min="45" max="45" width="8" style="4" hidden="1" customWidth="1" outlineLevel="1"/>
    <col min="46" max="46" width="9" style="4" customWidth="1" collapsed="1"/>
    <col min="47" max="47" width="8" style="4" hidden="1" customWidth="1" outlineLevel="1"/>
    <col min="48" max="48" width="9" style="4" customWidth="1" collapsed="1"/>
    <col min="49" max="49" width="8" style="4" customWidth="1"/>
    <col min="50" max="50" width="3" style="4" customWidth="1"/>
    <col min="51" max="52" width="9" style="4" customWidth="1"/>
    <col min="53" max="53" width="8" style="4" hidden="1" customWidth="1" outlineLevel="1"/>
    <col min="54" max="54" width="9" style="4" customWidth="1" collapsed="1"/>
    <col min="55" max="55" width="8" style="4" hidden="1" customWidth="1" outlineLevel="1"/>
    <col min="56" max="56" width="9" style="4" customWidth="1" collapsed="1"/>
    <col min="57" max="57" width="8" style="4" customWidth="1"/>
    <col min="58" max="58" width="3" style="4" customWidth="1"/>
    <col min="59" max="60" width="9" style="4" customWidth="1"/>
    <col min="61" max="61" width="8" style="4" hidden="1" customWidth="1" outlineLevel="1"/>
    <col min="62" max="62" width="9" style="4" customWidth="1" collapsed="1"/>
    <col min="63" max="63" width="8" style="4" hidden="1" customWidth="1" outlineLevel="1"/>
    <col min="64" max="64" width="9" style="4" customWidth="1" collapsed="1"/>
    <col min="65" max="65" width="8" style="4" customWidth="1"/>
    <col min="66" max="66" width="3" style="4" customWidth="1"/>
    <col min="67" max="68" width="9" style="4" customWidth="1"/>
    <col min="69" max="69" width="8" style="4" hidden="1" customWidth="1" outlineLevel="1"/>
    <col min="70" max="70" width="9" style="4" customWidth="1" collapsed="1"/>
    <col min="71" max="71" width="8" style="4" hidden="1" customWidth="1" outlineLevel="1"/>
    <col min="72" max="72" width="9" style="4" customWidth="1" collapsed="1"/>
    <col min="73" max="73" width="8" style="4" customWidth="1"/>
    <col min="74" max="74" width="3" style="4" customWidth="1"/>
    <col min="75" max="76" width="9" style="4" customWidth="1"/>
    <col min="77" max="77" width="9" style="4" hidden="1" customWidth="1" outlineLevel="1"/>
    <col min="78" max="78" width="9" style="4" customWidth="1" collapsed="1"/>
    <col min="79" max="79" width="9" style="4" hidden="1" customWidth="1" outlineLevel="1"/>
    <col min="80" max="80" width="9" style="4" customWidth="1" collapsed="1"/>
    <col min="81" max="81" width="9" style="4" customWidth="1"/>
    <col min="82" max="82" width="3" style="4" customWidth="1"/>
    <col min="83" max="84" width="9" style="4" customWidth="1"/>
    <col min="85" max="85" width="9" style="4" hidden="1" customWidth="1" outlineLevel="1"/>
    <col min="86" max="86" width="9" style="4" customWidth="1" collapsed="1"/>
    <col min="87" max="87" width="9" style="4" hidden="1" customWidth="1" outlineLevel="1"/>
    <col min="88" max="88" width="9" style="4" customWidth="1" collapsed="1"/>
    <col min="89" max="89" width="9" style="4" customWidth="1"/>
    <col min="90" max="16384" width="9.140625" style="4"/>
  </cols>
  <sheetData>
    <row r="1" spans="1:89" ht="17.25" x14ac:dyDescent="0.4">
      <c r="A1" s="202" t="s">
        <v>113</v>
      </c>
      <c r="B1" s="411">
        <v>31</v>
      </c>
      <c r="C1" s="247"/>
      <c r="D1" s="247"/>
      <c r="E1" s="247"/>
      <c r="F1" s="247"/>
      <c r="G1" s="247"/>
      <c r="H1" s="247"/>
      <c r="I1" s="247"/>
      <c r="J1" s="1"/>
      <c r="K1" s="247"/>
      <c r="L1" s="1"/>
      <c r="M1" s="1"/>
      <c r="N1" s="89"/>
      <c r="O1" s="18"/>
      <c r="P1" s="1"/>
      <c r="Q1" s="1"/>
      <c r="R1" s="1"/>
      <c r="S1" s="2"/>
      <c r="T1" s="2"/>
      <c r="U1" s="1"/>
      <c r="V1" s="1"/>
      <c r="W1" s="1"/>
      <c r="X1" s="1"/>
      <c r="Y1" s="1"/>
      <c r="Z1" s="1"/>
      <c r="AA1" s="2"/>
      <c r="AB1" s="2"/>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3"/>
    </row>
    <row r="2" spans="1:89" x14ac:dyDescent="0.25">
      <c r="A2" s="5" t="s">
        <v>42</v>
      </c>
      <c r="B2" s="206">
        <v>9.6999999999999993</v>
      </c>
      <c r="C2" s="218"/>
      <c r="D2" s="218"/>
      <c r="E2" s="218"/>
      <c r="F2" s="218"/>
      <c r="G2" s="218"/>
      <c r="H2" s="218"/>
      <c r="I2" s="218"/>
      <c r="J2" s="6"/>
      <c r="K2" s="218"/>
      <c r="L2" s="6"/>
      <c r="M2" s="6"/>
      <c r="N2" s="6"/>
      <c r="O2" s="18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7"/>
    </row>
    <row r="3" spans="1:89" ht="15" customHeight="1" x14ac:dyDescent="0.25">
      <c r="A3" s="42" t="s">
        <v>43</v>
      </c>
      <c r="B3" s="206">
        <v>10.6</v>
      </c>
      <c r="C3" s="218"/>
      <c r="D3" s="218"/>
      <c r="E3" s="218"/>
      <c r="F3" s="218"/>
      <c r="G3" s="218"/>
      <c r="H3" s="218"/>
      <c r="I3" s="218"/>
      <c r="J3" s="6"/>
      <c r="K3" s="218"/>
      <c r="L3" s="210"/>
      <c r="M3" s="10"/>
      <c r="N3" s="6"/>
      <c r="O3" s="18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7"/>
    </row>
    <row r="4" spans="1:89" s="14" customFormat="1" ht="15" customHeight="1" x14ac:dyDescent="0.25">
      <c r="A4" s="5" t="s">
        <v>44</v>
      </c>
      <c r="B4" s="206">
        <v>10.7</v>
      </c>
      <c r="C4" s="218"/>
      <c r="D4" s="218"/>
      <c r="E4" s="218"/>
      <c r="F4" s="218"/>
      <c r="G4" s="218"/>
      <c r="H4" s="218"/>
      <c r="I4" s="218"/>
      <c r="J4" s="12"/>
      <c r="K4" s="218"/>
      <c r="L4" s="218"/>
      <c r="M4" s="10"/>
      <c r="N4" s="10"/>
      <c r="O4" s="10"/>
      <c r="P4" s="10"/>
      <c r="Q4" s="10"/>
      <c r="R4" s="12"/>
      <c r="S4" s="10"/>
      <c r="T4" s="10"/>
      <c r="U4" s="10"/>
      <c r="V4" s="10"/>
      <c r="W4" s="10"/>
      <c r="X4" s="10"/>
      <c r="Y4" s="10"/>
      <c r="Z4" s="12"/>
      <c r="AA4" s="10"/>
      <c r="AB4" s="10"/>
      <c r="AC4" s="10"/>
      <c r="AD4" s="10"/>
      <c r="AE4" s="10"/>
      <c r="AF4" s="10"/>
      <c r="AG4" s="10"/>
      <c r="AH4" s="12"/>
      <c r="AI4" s="10"/>
      <c r="AJ4" s="10"/>
      <c r="AK4" s="10"/>
      <c r="AL4" s="10"/>
      <c r="AM4" s="10"/>
      <c r="AN4" s="10"/>
      <c r="AO4" s="10"/>
      <c r="AP4" s="12"/>
      <c r="AQ4" s="10"/>
      <c r="AR4" s="10"/>
      <c r="AS4" s="10"/>
      <c r="AT4" s="10"/>
      <c r="AU4" s="12"/>
      <c r="AV4" s="10"/>
      <c r="AW4" s="10"/>
      <c r="AX4" s="12"/>
      <c r="AY4" s="10"/>
      <c r="AZ4" s="10"/>
      <c r="BA4" s="10"/>
      <c r="BB4" s="10"/>
      <c r="BC4" s="12"/>
      <c r="BD4" s="10"/>
      <c r="BE4" s="10"/>
      <c r="BF4" s="12"/>
      <c r="BG4" s="10"/>
      <c r="BH4" s="10"/>
      <c r="BI4" s="10"/>
      <c r="BJ4" s="10"/>
      <c r="BK4" s="12"/>
      <c r="BL4" s="10"/>
      <c r="BM4" s="10"/>
      <c r="BN4" s="12"/>
      <c r="BO4" s="10"/>
      <c r="BP4" s="10"/>
      <c r="BQ4" s="10"/>
      <c r="BR4" s="10"/>
      <c r="BS4" s="12"/>
      <c r="BT4" s="10"/>
      <c r="BU4" s="10"/>
      <c r="BV4" s="12"/>
      <c r="BW4" s="10"/>
      <c r="BX4" s="10"/>
      <c r="BY4" s="10"/>
      <c r="BZ4" s="10"/>
      <c r="CA4" s="10"/>
      <c r="CB4" s="10"/>
      <c r="CC4" s="10"/>
      <c r="CD4" s="12"/>
      <c r="CE4" s="10"/>
      <c r="CF4" s="10"/>
      <c r="CG4" s="10"/>
      <c r="CH4" s="10"/>
      <c r="CI4" s="10"/>
      <c r="CJ4" s="10"/>
      <c r="CK4" s="13"/>
    </row>
    <row r="5" spans="1:89" s="14" customFormat="1" ht="15" customHeight="1" x14ac:dyDescent="0.25">
      <c r="A5" s="5"/>
      <c r="B5" s="206"/>
      <c r="C5" s="218"/>
      <c r="D5" s="218"/>
      <c r="E5" s="218"/>
      <c r="F5" s="218"/>
      <c r="G5" s="218"/>
      <c r="H5" s="218"/>
      <c r="I5" s="218"/>
      <c r="J5" s="12"/>
      <c r="K5" s="218"/>
      <c r="L5" s="218"/>
      <c r="M5" s="10"/>
      <c r="N5" s="10"/>
      <c r="O5" s="10"/>
      <c r="P5" s="10"/>
      <c r="Q5" s="10"/>
      <c r="R5" s="12"/>
      <c r="S5" s="10"/>
      <c r="T5" s="10"/>
      <c r="U5" s="10"/>
      <c r="V5" s="10"/>
      <c r="W5" s="10"/>
      <c r="X5"/>
      <c r="Y5" s="10"/>
      <c r="Z5" s="12"/>
      <c r="AA5" s="10"/>
      <c r="AB5" s="10"/>
      <c r="AC5" s="10"/>
      <c r="AD5" s="10"/>
      <c r="AE5" s="10"/>
      <c r="AF5" s="10"/>
      <c r="AG5" s="10"/>
      <c r="AH5" s="12"/>
      <c r="AI5" s="10"/>
      <c r="AJ5" s="10"/>
      <c r="AK5" s="10"/>
      <c r="AL5" s="10"/>
      <c r="AM5" s="10"/>
      <c r="AN5" s="10"/>
      <c r="AO5" s="10"/>
      <c r="AP5" s="12"/>
      <c r="AQ5" s="10"/>
      <c r="AR5" s="10"/>
      <c r="AS5" s="10"/>
      <c r="AT5" s="10"/>
      <c r="AU5" s="12"/>
      <c r="AV5" s="10"/>
      <c r="AW5" s="10"/>
      <c r="AX5" s="12"/>
      <c r="AY5" s="10"/>
      <c r="AZ5" s="10"/>
      <c r="BA5" s="10"/>
      <c r="BB5" s="10"/>
      <c r="BC5" s="12"/>
      <c r="BD5" s="10"/>
      <c r="BE5" s="10"/>
      <c r="BF5" s="12"/>
      <c r="BG5" s="10"/>
      <c r="BH5" s="10"/>
      <c r="BI5" s="10"/>
      <c r="BJ5" s="10"/>
      <c r="BK5" s="12"/>
      <c r="BL5" s="10"/>
      <c r="BM5" s="10"/>
      <c r="BN5" s="12"/>
      <c r="BO5" s="10"/>
      <c r="BP5" s="10"/>
      <c r="BQ5" s="10"/>
      <c r="BR5" s="10"/>
      <c r="BS5" s="12"/>
      <c r="BT5" s="10"/>
      <c r="BU5" s="10"/>
      <c r="BV5" s="12"/>
      <c r="BW5" s="10"/>
      <c r="BX5" s="10"/>
      <c r="BY5" s="10"/>
      <c r="BZ5" s="10"/>
      <c r="CA5" s="10"/>
      <c r="CB5" s="10"/>
      <c r="CC5" s="10"/>
      <c r="CD5" s="12"/>
      <c r="CE5" s="10"/>
      <c r="CF5" s="10"/>
      <c r="CG5" s="10"/>
      <c r="CH5" s="10"/>
      <c r="CI5" s="10"/>
      <c r="CJ5" s="10"/>
      <c r="CK5" s="13"/>
    </row>
    <row r="6" spans="1:89" s="14" customFormat="1" x14ac:dyDescent="0.25">
      <c r="A6" s="42" t="s">
        <v>114</v>
      </c>
      <c r="B6" s="206">
        <v>3</v>
      </c>
      <c r="C6" s="218"/>
      <c r="D6" s="218"/>
      <c r="E6" s="218"/>
      <c r="F6" s="218"/>
      <c r="G6" s="218"/>
      <c r="H6" s="218"/>
      <c r="I6" s="218"/>
      <c r="J6" s="12"/>
      <c r="K6" s="218"/>
      <c r="L6" s="218"/>
      <c r="M6" s="10"/>
      <c r="N6" s="10"/>
      <c r="O6" s="10"/>
      <c r="P6" s="10"/>
      <c r="Q6" s="10"/>
      <c r="R6" s="12"/>
      <c r="S6" s="10"/>
      <c r="T6" s="10"/>
      <c r="U6" s="10"/>
      <c r="V6" s="10"/>
      <c r="W6" s="10"/>
      <c r="X6" s="10"/>
      <c r="Y6" s="10"/>
      <c r="Z6" s="12"/>
      <c r="AA6" s="10"/>
      <c r="AB6" s="10"/>
      <c r="AC6" s="10"/>
      <c r="AD6" s="10"/>
      <c r="AE6" s="10"/>
      <c r="AF6" s="10"/>
      <c r="AG6" s="10"/>
      <c r="AH6" s="12"/>
      <c r="AI6" s="10"/>
      <c r="AJ6" s="10"/>
      <c r="AK6" s="10"/>
      <c r="AL6" s="10"/>
      <c r="AM6" s="10"/>
      <c r="AN6" s="10"/>
      <c r="AO6" s="10"/>
      <c r="AP6" s="12"/>
      <c r="AQ6" s="10"/>
      <c r="AR6" s="10"/>
      <c r="AS6" s="10"/>
      <c r="AT6" s="10"/>
      <c r="AU6" s="12"/>
      <c r="AV6" s="10"/>
      <c r="AW6" s="10"/>
      <c r="AX6" s="12"/>
      <c r="AY6" s="10"/>
      <c r="AZ6" s="10"/>
      <c r="BA6" s="10"/>
      <c r="BB6" s="10"/>
      <c r="BC6" s="12"/>
      <c r="BD6" s="10"/>
      <c r="BE6" s="10"/>
      <c r="BF6" s="12"/>
      <c r="BG6" s="10"/>
      <c r="BH6" s="10"/>
      <c r="BI6" s="10"/>
      <c r="BJ6" s="10"/>
      <c r="BK6" s="12"/>
      <c r="BL6" s="10"/>
      <c r="BM6" s="10"/>
      <c r="BN6" s="12"/>
      <c r="BO6" s="10"/>
      <c r="BP6" s="10"/>
      <c r="BQ6" s="10"/>
      <c r="BR6" s="10"/>
      <c r="BS6" s="12"/>
      <c r="BT6" s="10"/>
      <c r="BU6" s="10"/>
      <c r="BV6" s="12"/>
      <c r="BW6" s="10"/>
      <c r="BX6" s="10"/>
      <c r="BY6" s="10"/>
      <c r="BZ6" s="10"/>
      <c r="CA6" s="10"/>
      <c r="CB6" s="10"/>
      <c r="CC6" s="10"/>
      <c r="CD6" s="12"/>
      <c r="CE6" s="10"/>
      <c r="CF6" s="10"/>
      <c r="CG6" s="10"/>
      <c r="CH6" s="10"/>
      <c r="CI6" s="10"/>
      <c r="CJ6" s="10"/>
      <c r="CK6" s="13"/>
    </row>
    <row r="7" spans="1:89" s="14" customFormat="1" x14ac:dyDescent="0.25">
      <c r="A7" s="42" t="s">
        <v>115</v>
      </c>
      <c r="B7" s="206">
        <v>1.9</v>
      </c>
      <c r="C7" s="218"/>
      <c r="D7" s="218"/>
      <c r="E7" s="218"/>
      <c r="F7" s="218"/>
      <c r="G7" s="218"/>
      <c r="H7" s="218"/>
      <c r="I7" s="218"/>
      <c r="J7" s="12"/>
      <c r="K7" s="218"/>
      <c r="L7" s="218"/>
      <c r="M7" s="10"/>
      <c r="N7" s="10"/>
      <c r="O7" s="10"/>
      <c r="P7" s="10"/>
      <c r="Q7" s="10"/>
      <c r="R7" s="12"/>
      <c r="S7" s="10"/>
      <c r="T7" s="10"/>
      <c r="U7" s="10"/>
      <c r="V7" s="10"/>
      <c r="W7" s="10"/>
      <c r="X7" s="10"/>
      <c r="Y7" s="10"/>
      <c r="Z7" s="12"/>
      <c r="AA7" s="10"/>
      <c r="AB7" s="10"/>
      <c r="AC7" s="10"/>
      <c r="AD7" s="10"/>
      <c r="AE7" s="10"/>
      <c r="AF7" s="10"/>
      <c r="AG7" s="10"/>
      <c r="AH7" s="12"/>
      <c r="AI7" s="10"/>
      <c r="AJ7" s="10"/>
      <c r="AK7" s="10"/>
      <c r="AL7" s="10"/>
      <c r="AM7" s="10"/>
      <c r="AN7" s="10"/>
      <c r="AO7" s="10"/>
      <c r="AP7" s="12"/>
      <c r="AQ7" s="10"/>
      <c r="AR7" s="10"/>
      <c r="AS7" s="10"/>
      <c r="AT7" s="10"/>
      <c r="AU7" s="12"/>
      <c r="AV7" s="10"/>
      <c r="AW7" s="10"/>
      <c r="AX7" s="12"/>
      <c r="AY7" s="10"/>
      <c r="AZ7" s="10"/>
      <c r="BA7" s="10"/>
      <c r="BB7" s="10"/>
      <c r="BC7" s="12"/>
      <c r="BD7" s="10"/>
      <c r="BE7" s="10"/>
      <c r="BF7" s="12"/>
      <c r="BG7" s="10"/>
      <c r="BH7" s="10"/>
      <c r="BI7" s="10"/>
      <c r="BJ7" s="10"/>
      <c r="BK7" s="12"/>
      <c r="BL7" s="10"/>
      <c r="BM7" s="10"/>
      <c r="BN7" s="12"/>
      <c r="BO7" s="10"/>
      <c r="BP7" s="10"/>
      <c r="BQ7" s="10"/>
      <c r="BR7" s="10"/>
      <c r="BS7" s="12"/>
      <c r="BT7" s="10"/>
      <c r="BU7" s="10"/>
      <c r="BV7" s="12"/>
      <c r="BW7" s="10"/>
      <c r="BX7" s="10"/>
      <c r="BY7" s="10"/>
      <c r="BZ7" s="10"/>
      <c r="CA7" s="10"/>
      <c r="CB7" s="10"/>
      <c r="CC7" s="10"/>
      <c r="CD7" s="12"/>
      <c r="CE7" s="10"/>
      <c r="CF7" s="10"/>
      <c r="CG7" s="10"/>
      <c r="CH7" s="10"/>
      <c r="CI7" s="10"/>
      <c r="CJ7" s="10"/>
      <c r="CK7" s="13"/>
    </row>
    <row r="8" spans="1:89" s="14" customFormat="1" x14ac:dyDescent="0.25">
      <c r="A8" s="42"/>
      <c r="B8" s="206"/>
      <c r="C8" s="218"/>
      <c r="D8" s="218"/>
      <c r="E8" s="218"/>
      <c r="F8" s="218"/>
      <c r="G8" s="218"/>
      <c r="H8" s="218"/>
      <c r="I8" s="218"/>
      <c r="J8" s="12"/>
      <c r="K8" s="218"/>
      <c r="L8" s="218"/>
      <c r="M8" s="10"/>
      <c r="N8" s="10"/>
      <c r="O8" s="10"/>
      <c r="P8" s="10"/>
      <c r="Q8" s="10"/>
      <c r="R8" s="12"/>
      <c r="S8" s="10"/>
      <c r="T8" s="10"/>
      <c r="U8" s="10"/>
      <c r="V8" s="10"/>
      <c r="W8" s="10"/>
      <c r="X8" s="10"/>
      <c r="Y8" s="10"/>
      <c r="Z8" s="12"/>
      <c r="AA8" s="10"/>
      <c r="AB8" s="10"/>
      <c r="AC8" s="10"/>
      <c r="AD8" s="10"/>
      <c r="AE8" s="10"/>
      <c r="AF8" s="10"/>
      <c r="AG8" s="10"/>
      <c r="AH8" s="12"/>
      <c r="AI8" s="10"/>
      <c r="AJ8" s="10"/>
      <c r="AK8" s="10"/>
      <c r="AL8" s="10"/>
      <c r="AM8" s="10"/>
      <c r="AN8" s="10"/>
      <c r="AO8" s="10"/>
      <c r="AP8" s="12"/>
      <c r="AQ8" s="10"/>
      <c r="AR8" s="10"/>
      <c r="AS8" s="10"/>
      <c r="AT8" s="10"/>
      <c r="AU8" s="12"/>
      <c r="AV8" s="10"/>
      <c r="AW8" s="10"/>
      <c r="AX8" s="12"/>
      <c r="AY8" s="10"/>
      <c r="AZ8" s="10"/>
      <c r="BA8" s="10"/>
      <c r="BB8" s="10"/>
      <c r="BC8" s="12"/>
      <c r="BD8" s="10"/>
      <c r="BE8" s="10"/>
      <c r="BF8" s="12"/>
      <c r="BG8" s="10"/>
      <c r="BH8" s="10"/>
      <c r="BI8" s="10"/>
      <c r="BJ8" s="10"/>
      <c r="BK8" s="12"/>
      <c r="BL8" s="10"/>
      <c r="BM8" s="10"/>
      <c r="BN8" s="12"/>
      <c r="BO8" s="10"/>
      <c r="BP8" s="10"/>
      <c r="BQ8" s="10"/>
      <c r="BR8" s="10"/>
      <c r="BS8" s="12"/>
      <c r="BT8" s="10"/>
      <c r="BU8" s="10"/>
      <c r="BV8" s="12"/>
      <c r="BW8" s="10"/>
      <c r="BX8" s="10"/>
      <c r="BY8" s="10"/>
      <c r="BZ8" s="10"/>
      <c r="CA8" s="10"/>
      <c r="CB8" s="10"/>
      <c r="CC8" s="10"/>
      <c r="CD8" s="12"/>
      <c r="CE8" s="10"/>
      <c r="CF8" s="10"/>
      <c r="CG8" s="10"/>
      <c r="CH8" s="10"/>
      <c r="CI8" s="10"/>
      <c r="CJ8" s="10"/>
      <c r="CK8" s="13"/>
    </row>
    <row r="9" spans="1:89" s="14" customFormat="1" ht="15.75" thickBot="1" x14ac:dyDescent="0.3">
      <c r="A9" s="87" t="s">
        <v>116</v>
      </c>
      <c r="B9" s="217">
        <v>1.7</v>
      </c>
      <c r="C9" s="218"/>
      <c r="D9" s="218"/>
      <c r="E9" s="218"/>
      <c r="F9" s="218"/>
      <c r="G9" s="218"/>
      <c r="H9" s="218"/>
      <c r="I9" s="218"/>
      <c r="J9" s="12"/>
      <c r="K9" s="218"/>
      <c r="L9" s="218"/>
      <c r="M9" s="10"/>
      <c r="N9" s="10"/>
      <c r="O9" s="10"/>
      <c r="P9" s="10"/>
      <c r="Q9" s="10"/>
      <c r="R9" s="12"/>
      <c r="S9" s="10"/>
      <c r="T9" s="10"/>
      <c r="U9" s="10"/>
      <c r="V9" s="10"/>
      <c r="W9" s="10"/>
      <c r="X9" s="10"/>
      <c r="Y9" s="10"/>
      <c r="Z9" s="12"/>
      <c r="AA9" s="10"/>
      <c r="AB9" s="10"/>
      <c r="AC9" s="10"/>
      <c r="AD9" s="10"/>
      <c r="AE9" s="10"/>
      <c r="AF9" s="10"/>
      <c r="AG9" s="10"/>
      <c r="AH9" s="12"/>
      <c r="AI9" s="10"/>
      <c r="AJ9" s="10"/>
      <c r="AK9" s="10"/>
      <c r="AL9" s="10"/>
      <c r="AM9" s="10"/>
      <c r="AN9" s="10"/>
      <c r="AO9" s="10"/>
      <c r="AP9" s="12"/>
      <c r="AQ9" s="10"/>
      <c r="AR9" s="10"/>
      <c r="AS9" s="10"/>
      <c r="AT9" s="10"/>
      <c r="AU9" s="12"/>
      <c r="AV9" s="10"/>
      <c r="AW9" s="10"/>
      <c r="AX9" s="12"/>
      <c r="AY9" s="10"/>
      <c r="AZ9" s="10"/>
      <c r="BA9" s="10"/>
      <c r="BB9" s="10"/>
      <c r="BC9" s="12"/>
      <c r="BD9" s="10"/>
      <c r="BE9" s="10"/>
      <c r="BF9" s="12"/>
      <c r="BG9" s="10"/>
      <c r="BH9" s="10"/>
      <c r="BI9" s="10"/>
      <c r="BJ9" s="10"/>
      <c r="BK9" s="12"/>
      <c r="BL9" s="10"/>
      <c r="BM9" s="10"/>
      <c r="BN9" s="12"/>
      <c r="BO9" s="10"/>
      <c r="BP9" s="10"/>
      <c r="BQ9" s="10"/>
      <c r="BR9" s="10"/>
      <c r="BS9" s="12"/>
      <c r="BT9" s="10"/>
      <c r="BU9" s="10"/>
      <c r="BV9" s="12"/>
      <c r="BW9" s="10"/>
      <c r="BX9" s="10"/>
      <c r="BY9" s="10"/>
      <c r="BZ9" s="10"/>
      <c r="CA9" s="10"/>
      <c r="CB9" s="10"/>
      <c r="CC9" s="10"/>
      <c r="CD9" s="12"/>
      <c r="CE9" s="10"/>
      <c r="CF9" s="10"/>
      <c r="CG9" s="10"/>
      <c r="CH9" s="10"/>
      <c r="CI9" s="10"/>
      <c r="CJ9" s="10"/>
      <c r="CK9" s="13"/>
    </row>
    <row r="10" spans="1:89" ht="15.75" thickBot="1" x14ac:dyDescent="0.3">
      <c r="A10" s="22"/>
      <c r="B10" s="22"/>
      <c r="C10" s="22"/>
      <c r="D10" s="22"/>
      <c r="E10" s="22"/>
      <c r="F10" s="22"/>
      <c r="G10" s="22"/>
      <c r="H10" s="22"/>
      <c r="I10" s="22"/>
      <c r="J10" s="6"/>
      <c r="K10" s="22"/>
      <c r="L10" s="22"/>
      <c r="M10" s="22"/>
      <c r="N10" s="22"/>
      <c r="O10" s="22"/>
      <c r="P10" s="22"/>
      <c r="Q10" s="22"/>
      <c r="R10" s="6"/>
      <c r="S10" s="169"/>
      <c r="T10" s="22"/>
      <c r="U10" s="22"/>
      <c r="V10" s="22"/>
      <c r="W10" s="22"/>
      <c r="X10" s="22"/>
      <c r="Y10" s="22"/>
      <c r="Z10" s="6"/>
      <c r="AA10" s="22"/>
      <c r="AB10" s="22"/>
      <c r="AC10" s="22"/>
      <c r="AD10" s="22"/>
      <c r="AE10" s="22"/>
      <c r="AF10" s="22"/>
      <c r="AG10" s="22"/>
      <c r="AH10" s="6"/>
      <c r="AI10" s="22"/>
      <c r="AJ10" s="22"/>
      <c r="AK10" s="22"/>
      <c r="AL10" s="22"/>
      <c r="AM10" s="22"/>
      <c r="AN10" s="22"/>
      <c r="AO10" s="22"/>
      <c r="AP10" s="6"/>
      <c r="AQ10" s="22"/>
      <c r="AR10" s="22"/>
      <c r="AS10" s="22"/>
      <c r="AT10" s="22"/>
      <c r="AU10" s="22"/>
      <c r="AV10" s="22"/>
      <c r="AW10" s="22"/>
      <c r="AX10" s="6"/>
      <c r="AY10" s="22"/>
      <c r="AZ10" s="22"/>
      <c r="BA10" s="22"/>
      <c r="BB10" s="22"/>
      <c r="BC10" s="22"/>
      <c r="BD10" s="22"/>
      <c r="BE10" s="22"/>
      <c r="BF10" s="6"/>
      <c r="BG10" s="22"/>
      <c r="BH10" s="22"/>
      <c r="BI10" s="22"/>
      <c r="BJ10" s="22"/>
      <c r="BK10" s="22"/>
      <c r="BL10" s="22"/>
      <c r="BM10" s="22"/>
      <c r="BN10" s="6"/>
      <c r="BO10" s="22"/>
      <c r="BP10" s="22"/>
      <c r="BQ10" s="22"/>
      <c r="BR10" s="22"/>
      <c r="BS10" s="22"/>
      <c r="BT10" s="22"/>
      <c r="BU10" s="22"/>
      <c r="BV10" s="6"/>
      <c r="BW10" s="22"/>
      <c r="BX10" s="22"/>
      <c r="BY10" s="22"/>
      <c r="BZ10" s="22"/>
      <c r="CA10" s="22"/>
      <c r="CB10" s="22"/>
      <c r="CC10" s="22"/>
      <c r="CD10" s="6"/>
      <c r="CE10" s="22"/>
      <c r="CF10" s="22"/>
      <c r="CG10" s="22"/>
      <c r="CH10" s="22"/>
      <c r="CI10" s="22"/>
      <c r="CJ10" s="22"/>
      <c r="CK10" s="23"/>
    </row>
    <row r="11" spans="1:89" ht="15.75" thickBot="1" x14ac:dyDescent="0.3">
      <c r="A11" s="20"/>
      <c r="B11" s="218"/>
      <c r="C11" s="261">
        <v>2016</v>
      </c>
      <c r="D11" s="262"/>
      <c r="E11" s="262"/>
      <c r="F11" s="262"/>
      <c r="G11" s="262"/>
      <c r="H11" s="262"/>
      <c r="I11" s="263"/>
      <c r="J11" s="6"/>
      <c r="K11" s="261">
        <v>2015</v>
      </c>
      <c r="L11" s="262"/>
      <c r="M11" s="262"/>
      <c r="N11" s="262"/>
      <c r="O11" s="262"/>
      <c r="P11" s="262"/>
      <c r="Q11" s="263"/>
      <c r="R11" s="6"/>
      <c r="S11" s="261">
        <v>2014</v>
      </c>
      <c r="T11" s="262"/>
      <c r="U11" s="262"/>
      <c r="V11" s="262"/>
      <c r="W11" s="262"/>
      <c r="X11" s="262"/>
      <c r="Y11" s="263"/>
      <c r="Z11" s="6"/>
      <c r="AA11" s="261">
        <v>2013</v>
      </c>
      <c r="AB11" s="262"/>
      <c r="AC11" s="262"/>
      <c r="AD11" s="262"/>
      <c r="AE11" s="262"/>
      <c r="AF11" s="262"/>
      <c r="AG11" s="263"/>
      <c r="AH11" s="6"/>
      <c r="AI11" s="261">
        <v>2012</v>
      </c>
      <c r="AJ11" s="262"/>
      <c r="AK11" s="262"/>
      <c r="AL11" s="262"/>
      <c r="AM11" s="262"/>
      <c r="AN11" s="262"/>
      <c r="AO11" s="263"/>
      <c r="AP11" s="6"/>
      <c r="AQ11" s="261">
        <v>2011</v>
      </c>
      <c r="AR11" s="262"/>
      <c r="AS11" s="262"/>
      <c r="AT11" s="262"/>
      <c r="AU11" s="262"/>
      <c r="AV11" s="262"/>
      <c r="AW11" s="263"/>
      <c r="AX11" s="6"/>
      <c r="AY11" s="261">
        <v>2010</v>
      </c>
      <c r="AZ11" s="262"/>
      <c r="BA11" s="262"/>
      <c r="BB11" s="262"/>
      <c r="BC11" s="262"/>
      <c r="BD11" s="262"/>
      <c r="BE11" s="263"/>
      <c r="BF11" s="6"/>
      <c r="BG11" s="261">
        <v>2009</v>
      </c>
      <c r="BH11" s="262"/>
      <c r="BI11" s="262"/>
      <c r="BJ11" s="262"/>
      <c r="BK11" s="262"/>
      <c r="BL11" s="262"/>
      <c r="BM11" s="263"/>
      <c r="BN11" s="6"/>
      <c r="BO11" s="261">
        <v>2008</v>
      </c>
      <c r="BP11" s="262"/>
      <c r="BQ11" s="262"/>
      <c r="BR11" s="262"/>
      <c r="BS11" s="262"/>
      <c r="BT11" s="262"/>
      <c r="BU11" s="263"/>
      <c r="BV11" s="6"/>
      <c r="BW11" s="261">
        <v>2007</v>
      </c>
      <c r="BX11" s="262"/>
      <c r="BY11" s="262"/>
      <c r="BZ11" s="262"/>
      <c r="CA11" s="262"/>
      <c r="CB11" s="262"/>
      <c r="CC11" s="263"/>
      <c r="CD11" s="6"/>
      <c r="CE11" s="261">
        <v>2006</v>
      </c>
      <c r="CF11" s="262"/>
      <c r="CG11" s="262"/>
      <c r="CH11" s="262"/>
      <c r="CI11" s="262"/>
      <c r="CJ11" s="262"/>
      <c r="CK11" s="263"/>
    </row>
    <row r="12" spans="1:89" s="163" customFormat="1" x14ac:dyDescent="0.25">
      <c r="A12" s="34"/>
      <c r="B12" s="10"/>
      <c r="C12" s="76" t="s">
        <v>3</v>
      </c>
      <c r="D12" s="10" t="s">
        <v>4</v>
      </c>
      <c r="E12" s="10" t="s">
        <v>5</v>
      </c>
      <c r="F12" s="10" t="s">
        <v>6</v>
      </c>
      <c r="G12" s="10" t="s">
        <v>7</v>
      </c>
      <c r="H12" s="10" t="s">
        <v>8</v>
      </c>
      <c r="I12" s="13" t="s">
        <v>9</v>
      </c>
      <c r="J12" s="35"/>
      <c r="K12" s="76" t="s">
        <v>3</v>
      </c>
      <c r="L12" s="10" t="s">
        <v>4</v>
      </c>
      <c r="M12" s="10" t="s">
        <v>5</v>
      </c>
      <c r="N12" s="10" t="s">
        <v>6</v>
      </c>
      <c r="O12" s="10" t="s">
        <v>7</v>
      </c>
      <c r="P12" s="10" t="s">
        <v>8</v>
      </c>
      <c r="Q12" s="13" t="s">
        <v>9</v>
      </c>
      <c r="R12" s="35"/>
      <c r="S12" s="76" t="s">
        <v>3</v>
      </c>
      <c r="T12" s="10" t="s">
        <v>4</v>
      </c>
      <c r="U12" s="10" t="s">
        <v>5</v>
      </c>
      <c r="V12" s="10" t="s">
        <v>6</v>
      </c>
      <c r="W12" s="10" t="s">
        <v>7</v>
      </c>
      <c r="X12" s="10" t="s">
        <v>8</v>
      </c>
      <c r="Y12" s="13" t="s">
        <v>9</v>
      </c>
      <c r="Z12" s="35"/>
      <c r="AA12" s="76" t="s">
        <v>3</v>
      </c>
      <c r="AB12" s="10" t="s">
        <v>4</v>
      </c>
      <c r="AC12" s="10" t="s">
        <v>5</v>
      </c>
      <c r="AD12" s="10" t="s">
        <v>6</v>
      </c>
      <c r="AE12" s="10" t="s">
        <v>7</v>
      </c>
      <c r="AF12" s="10" t="s">
        <v>8</v>
      </c>
      <c r="AG12" s="13" t="s">
        <v>9</v>
      </c>
      <c r="AH12" s="35"/>
      <c r="AI12" s="76" t="s">
        <v>3</v>
      </c>
      <c r="AJ12" s="10" t="s">
        <v>4</v>
      </c>
      <c r="AK12" s="10" t="s">
        <v>5</v>
      </c>
      <c r="AL12" s="10" t="s">
        <v>6</v>
      </c>
      <c r="AM12" s="10" t="s">
        <v>7</v>
      </c>
      <c r="AN12" s="10" t="s">
        <v>8</v>
      </c>
      <c r="AO12" s="13" t="s">
        <v>9</v>
      </c>
      <c r="AP12" s="35"/>
      <c r="AQ12" s="76" t="s">
        <v>3</v>
      </c>
      <c r="AR12" s="10" t="s">
        <v>4</v>
      </c>
      <c r="AS12" s="10" t="s">
        <v>5</v>
      </c>
      <c r="AT12" s="10" t="s">
        <v>6</v>
      </c>
      <c r="AU12" s="10" t="s">
        <v>7</v>
      </c>
      <c r="AV12" s="10" t="s">
        <v>8</v>
      </c>
      <c r="AW12" s="13" t="s">
        <v>9</v>
      </c>
      <c r="AX12" s="35"/>
      <c r="AY12" s="76" t="s">
        <v>3</v>
      </c>
      <c r="AZ12" s="10" t="s">
        <v>4</v>
      </c>
      <c r="BA12" s="10" t="s">
        <v>5</v>
      </c>
      <c r="BB12" s="10" t="s">
        <v>6</v>
      </c>
      <c r="BC12" s="10" t="s">
        <v>7</v>
      </c>
      <c r="BD12" s="10" t="s">
        <v>8</v>
      </c>
      <c r="BE12" s="13" t="s">
        <v>9</v>
      </c>
      <c r="BF12" s="35"/>
      <c r="BG12" s="76" t="s">
        <v>3</v>
      </c>
      <c r="BH12" s="10" t="s">
        <v>4</v>
      </c>
      <c r="BI12" s="10" t="s">
        <v>5</v>
      </c>
      <c r="BJ12" s="10" t="s">
        <v>6</v>
      </c>
      <c r="BK12" s="10" t="s">
        <v>7</v>
      </c>
      <c r="BL12" s="10" t="s">
        <v>8</v>
      </c>
      <c r="BM12" s="13" t="s">
        <v>9</v>
      </c>
      <c r="BN12" s="35"/>
      <c r="BO12" s="76" t="s">
        <v>3</v>
      </c>
      <c r="BP12" s="10" t="s">
        <v>4</v>
      </c>
      <c r="BQ12" s="10" t="s">
        <v>5</v>
      </c>
      <c r="BR12" s="10" t="s">
        <v>6</v>
      </c>
      <c r="BS12" s="10" t="s">
        <v>7</v>
      </c>
      <c r="BT12" s="10" t="s">
        <v>8</v>
      </c>
      <c r="BU12" s="13" t="s">
        <v>9</v>
      </c>
      <c r="BV12" s="35"/>
      <c r="BW12" s="76" t="s">
        <v>3</v>
      </c>
      <c r="BX12" s="10" t="s">
        <v>4</v>
      </c>
      <c r="BY12" s="10" t="s">
        <v>5</v>
      </c>
      <c r="BZ12" s="10" t="s">
        <v>6</v>
      </c>
      <c r="CA12" s="10" t="s">
        <v>7</v>
      </c>
      <c r="CB12" s="10" t="s">
        <v>8</v>
      </c>
      <c r="CC12" s="13" t="s">
        <v>9</v>
      </c>
      <c r="CD12" s="35"/>
      <c r="CE12" s="76" t="s">
        <v>3</v>
      </c>
      <c r="CF12" s="10" t="s">
        <v>4</v>
      </c>
      <c r="CG12" s="10" t="s">
        <v>5</v>
      </c>
      <c r="CH12" s="10" t="s">
        <v>6</v>
      </c>
      <c r="CI12" s="10" t="s">
        <v>7</v>
      </c>
      <c r="CJ12" s="10" t="s">
        <v>8</v>
      </c>
      <c r="CK12" s="13" t="s">
        <v>9</v>
      </c>
    </row>
    <row r="13" spans="1:89" x14ac:dyDescent="0.25">
      <c r="A13" s="5"/>
      <c r="B13" s="22"/>
      <c r="C13" s="24"/>
      <c r="D13" s="22"/>
      <c r="E13" s="22"/>
      <c r="F13" s="22"/>
      <c r="G13" s="22"/>
      <c r="H13" s="22"/>
      <c r="I13" s="23"/>
      <c r="J13" s="6"/>
      <c r="K13" s="24"/>
      <c r="L13" s="22"/>
      <c r="M13" s="22"/>
      <c r="N13" s="22"/>
      <c r="O13" s="22"/>
      <c r="P13" s="22"/>
      <c r="Q13" s="23"/>
      <c r="R13" s="6"/>
      <c r="S13" s="24"/>
      <c r="T13" s="22"/>
      <c r="U13" s="22"/>
      <c r="V13" s="22"/>
      <c r="W13" s="22"/>
      <c r="X13" s="22"/>
      <c r="Y13" s="23"/>
      <c r="Z13" s="6"/>
      <c r="AA13" s="24"/>
      <c r="AB13" s="22"/>
      <c r="AC13" s="22"/>
      <c r="AD13" s="22"/>
      <c r="AE13" s="22"/>
      <c r="AF13" s="22"/>
      <c r="AG13" s="23"/>
      <c r="AH13" s="6"/>
      <c r="AI13" s="24"/>
      <c r="AJ13" s="22"/>
      <c r="AK13" s="22"/>
      <c r="AL13" s="22"/>
      <c r="AM13" s="22"/>
      <c r="AN13" s="22"/>
      <c r="AO13" s="23"/>
      <c r="AP13" s="6"/>
      <c r="AQ13" s="24"/>
      <c r="AR13" s="22"/>
      <c r="AS13" s="22"/>
      <c r="AT13" s="22"/>
      <c r="AU13" s="22"/>
      <c r="AV13" s="22"/>
      <c r="AW13" s="23"/>
      <c r="AX13" s="6"/>
      <c r="AY13" s="24"/>
      <c r="AZ13" s="22"/>
      <c r="BA13" s="22"/>
      <c r="BB13" s="22"/>
      <c r="BC13" s="22"/>
      <c r="BD13" s="22"/>
      <c r="BE13" s="23"/>
      <c r="BF13" s="6"/>
      <c r="BG13" s="24"/>
      <c r="BH13" s="22"/>
      <c r="BI13" s="22"/>
      <c r="BJ13" s="22"/>
      <c r="BK13" s="22"/>
      <c r="BL13" s="22"/>
      <c r="BM13" s="23"/>
      <c r="BN13" s="6"/>
      <c r="BO13" s="24"/>
      <c r="BP13" s="22"/>
      <c r="BQ13" s="22"/>
      <c r="BR13" s="22"/>
      <c r="BS13" s="22"/>
      <c r="BT13" s="22"/>
      <c r="BU13" s="23"/>
      <c r="BV13" s="6"/>
      <c r="BW13" s="24"/>
      <c r="BX13" s="22"/>
      <c r="BY13" s="22"/>
      <c r="BZ13" s="22"/>
      <c r="CA13" s="22"/>
      <c r="CB13" s="22"/>
      <c r="CC13" s="23"/>
      <c r="CD13" s="6"/>
      <c r="CE13" s="24"/>
      <c r="CF13" s="22"/>
      <c r="CG13" s="22"/>
      <c r="CH13" s="22"/>
      <c r="CI13" s="22"/>
      <c r="CJ13" s="22"/>
      <c r="CK13" s="23"/>
    </row>
    <row r="14" spans="1:89" s="14" customFormat="1" x14ac:dyDescent="0.25">
      <c r="A14" s="88" t="s">
        <v>10</v>
      </c>
      <c r="B14" s="20"/>
      <c r="C14" s="25">
        <v>14760</v>
      </c>
      <c r="D14" s="20">
        <f t="shared" ref="D14:D26" si="0">E14-C14</f>
        <v>15212</v>
      </c>
      <c r="E14" s="20">
        <v>29972</v>
      </c>
      <c r="F14" s="20">
        <v>15979</v>
      </c>
      <c r="G14" s="20">
        <v>45951</v>
      </c>
      <c r="H14" s="20">
        <v>0</v>
      </c>
      <c r="I14" s="21">
        <v>45951</v>
      </c>
      <c r="J14" s="12"/>
      <c r="K14" s="25">
        <v>16564</v>
      </c>
      <c r="L14" s="20">
        <v>18968</v>
      </c>
      <c r="M14" s="20">
        <v>35532</v>
      </c>
      <c r="N14" s="20">
        <v>23318</v>
      </c>
      <c r="O14" s="20">
        <v>58850</v>
      </c>
      <c r="P14" s="20">
        <v>18556</v>
      </c>
      <c r="Q14" s="21">
        <v>77406</v>
      </c>
      <c r="R14" s="12"/>
      <c r="S14" s="25">
        <v>16322</v>
      </c>
      <c r="T14" s="20">
        <v>16704</v>
      </c>
      <c r="U14" s="20">
        <v>33026</v>
      </c>
      <c r="V14" s="20">
        <v>17633</v>
      </c>
      <c r="W14" s="20">
        <v>50659</v>
      </c>
      <c r="X14" s="20">
        <v>16595</v>
      </c>
      <c r="Y14" s="21">
        <v>67254</v>
      </c>
      <c r="Z14" s="26"/>
      <c r="AA14" s="25">
        <v>15041</v>
      </c>
      <c r="AB14" s="20">
        <v>15131</v>
      </c>
      <c r="AC14" s="20">
        <v>30172</v>
      </c>
      <c r="AD14" s="20">
        <v>15690</v>
      </c>
      <c r="AE14" s="20">
        <v>45862</v>
      </c>
      <c r="AF14" s="20">
        <v>14211</v>
      </c>
      <c r="AG14" s="21">
        <v>60073</v>
      </c>
      <c r="AH14" s="26"/>
      <c r="AI14" s="25">
        <v>13606</v>
      </c>
      <c r="AJ14" s="20">
        <v>14122</v>
      </c>
      <c r="AK14" s="20">
        <v>27728</v>
      </c>
      <c r="AL14" s="20">
        <v>14858</v>
      </c>
      <c r="AM14" s="20">
        <v>42586</v>
      </c>
      <c r="AN14" s="20">
        <v>13269</v>
      </c>
      <c r="AO14" s="21">
        <v>55855</v>
      </c>
      <c r="AP14" s="26"/>
      <c r="AQ14" s="25">
        <v>13853</v>
      </c>
      <c r="AR14" s="20">
        <v>13944</v>
      </c>
      <c r="AS14" s="20">
        <v>27797</v>
      </c>
      <c r="AT14" s="20">
        <v>15121</v>
      </c>
      <c r="AU14" s="20">
        <v>42918</v>
      </c>
      <c r="AV14" s="20">
        <v>12936</v>
      </c>
      <c r="AW14" s="21">
        <v>55854</v>
      </c>
      <c r="AX14" s="26"/>
      <c r="AY14" s="25">
        <v>15317</v>
      </c>
      <c r="AZ14" s="20">
        <v>16764</v>
      </c>
      <c r="BA14" s="20">
        <v>32081</v>
      </c>
      <c r="BB14" s="20">
        <v>14728</v>
      </c>
      <c r="BC14" s="20">
        <v>46809</v>
      </c>
      <c r="BD14" s="20">
        <v>14292</v>
      </c>
      <c r="BE14" s="21">
        <v>61101</v>
      </c>
      <c r="BF14" s="26"/>
      <c r="BG14" s="25">
        <v>11604</v>
      </c>
      <c r="BH14" s="20">
        <v>14007</v>
      </c>
      <c r="BI14" s="20">
        <v>25611</v>
      </c>
      <c r="BJ14" s="20">
        <v>13868</v>
      </c>
      <c r="BK14" s="20">
        <v>39479</v>
      </c>
      <c r="BL14" s="20">
        <v>14596</v>
      </c>
      <c r="BM14" s="21">
        <v>54075</v>
      </c>
      <c r="BN14" s="26"/>
      <c r="BO14" s="25">
        <v>11467</v>
      </c>
      <c r="BP14" s="20">
        <v>12977</v>
      </c>
      <c r="BQ14" s="20">
        <v>24444</v>
      </c>
      <c r="BR14" s="20">
        <v>16510</v>
      </c>
      <c r="BS14" s="20">
        <v>40954</v>
      </c>
      <c r="BT14" s="20">
        <v>13245</v>
      </c>
      <c r="BU14" s="21">
        <v>54199</v>
      </c>
      <c r="BV14" s="26"/>
      <c r="BW14" s="25">
        <v>9387</v>
      </c>
      <c r="BX14" s="20">
        <v>9126</v>
      </c>
      <c r="BY14" s="20">
        <v>18513</v>
      </c>
      <c r="BZ14" s="20">
        <v>11010</v>
      </c>
      <c r="CA14" s="20">
        <v>29523</v>
      </c>
      <c r="CB14" s="20">
        <v>14666</v>
      </c>
      <c r="CC14" s="21">
        <v>44189</v>
      </c>
      <c r="CD14" s="26"/>
      <c r="CE14" s="25">
        <v>0</v>
      </c>
      <c r="CF14" s="20">
        <v>0</v>
      </c>
      <c r="CG14" s="20">
        <v>0</v>
      </c>
      <c r="CH14" s="20">
        <v>4104</v>
      </c>
      <c r="CI14" s="20">
        <v>4104</v>
      </c>
      <c r="CJ14" s="20">
        <v>8067</v>
      </c>
      <c r="CK14" s="21">
        <v>12171</v>
      </c>
    </row>
    <row r="15" spans="1:89" s="14" customFormat="1" x14ac:dyDescent="0.25">
      <c r="A15" s="88" t="s">
        <v>11</v>
      </c>
      <c r="B15" s="20"/>
      <c r="C15" s="25">
        <v>12618</v>
      </c>
      <c r="D15" s="20">
        <f t="shared" si="0"/>
        <v>12661</v>
      </c>
      <c r="E15" s="20">
        <v>25279</v>
      </c>
      <c r="F15" s="20">
        <v>12770</v>
      </c>
      <c r="G15" s="20">
        <v>38049</v>
      </c>
      <c r="H15" s="20">
        <v>0</v>
      </c>
      <c r="I15" s="21">
        <v>38049</v>
      </c>
      <c r="J15" s="12"/>
      <c r="K15" s="25">
        <v>13357</v>
      </c>
      <c r="L15" s="20">
        <v>14777</v>
      </c>
      <c r="M15" s="20">
        <v>28134</v>
      </c>
      <c r="N15" s="20">
        <v>18909</v>
      </c>
      <c r="O15" s="20">
        <v>47043</v>
      </c>
      <c r="P15" s="20">
        <v>17226</v>
      </c>
      <c r="Q15" s="21">
        <v>64269</v>
      </c>
      <c r="R15" s="12"/>
      <c r="S15" s="25">
        <v>12673</v>
      </c>
      <c r="T15" s="20">
        <v>13027</v>
      </c>
      <c r="U15" s="20">
        <v>25700</v>
      </c>
      <c r="V15" s="20">
        <v>13967</v>
      </c>
      <c r="W15" s="20">
        <v>39667</v>
      </c>
      <c r="X15" s="20">
        <v>13423</v>
      </c>
      <c r="Y15" s="21">
        <v>53090</v>
      </c>
      <c r="Z15" s="26"/>
      <c r="AA15" s="25">
        <v>11557</v>
      </c>
      <c r="AB15" s="20">
        <v>11798</v>
      </c>
      <c r="AC15" s="20">
        <v>23355</v>
      </c>
      <c r="AD15" s="20">
        <v>12346</v>
      </c>
      <c r="AE15" s="20">
        <v>35701</v>
      </c>
      <c r="AF15" s="20">
        <v>10935</v>
      </c>
      <c r="AG15" s="21">
        <v>46636</v>
      </c>
      <c r="AH15" s="26"/>
      <c r="AI15" s="25">
        <v>10199</v>
      </c>
      <c r="AJ15" s="20">
        <v>10502</v>
      </c>
      <c r="AK15" s="20">
        <v>20701</v>
      </c>
      <c r="AL15" s="20">
        <v>11092</v>
      </c>
      <c r="AM15" s="20">
        <v>31793</v>
      </c>
      <c r="AN15" s="20">
        <v>10239</v>
      </c>
      <c r="AO15" s="21">
        <v>42032</v>
      </c>
      <c r="AP15" s="26"/>
      <c r="AQ15" s="25">
        <v>10043</v>
      </c>
      <c r="AR15" s="20">
        <v>10322</v>
      </c>
      <c r="AS15" s="20">
        <v>20365</v>
      </c>
      <c r="AT15" s="20">
        <v>11064</v>
      </c>
      <c r="AU15" s="20">
        <v>31429</v>
      </c>
      <c r="AV15" s="20">
        <v>9787</v>
      </c>
      <c r="AW15" s="21">
        <v>41216</v>
      </c>
      <c r="AX15" s="26"/>
      <c r="AY15" s="25">
        <v>10676</v>
      </c>
      <c r="AZ15" s="20">
        <v>11208</v>
      </c>
      <c r="BA15" s="20">
        <v>21884</v>
      </c>
      <c r="BB15" s="20">
        <v>10187</v>
      </c>
      <c r="BC15" s="20">
        <v>32071</v>
      </c>
      <c r="BD15" s="20">
        <v>11112</v>
      </c>
      <c r="BE15" s="21">
        <v>43183</v>
      </c>
      <c r="BF15" s="26"/>
      <c r="BG15" s="25">
        <v>8214</v>
      </c>
      <c r="BH15" s="20">
        <v>9965</v>
      </c>
      <c r="BI15" s="20">
        <v>18179</v>
      </c>
      <c r="BJ15" s="20">
        <v>9657</v>
      </c>
      <c r="BK15" s="20">
        <v>27836</v>
      </c>
      <c r="BL15" s="20">
        <v>10146</v>
      </c>
      <c r="BM15" s="21">
        <v>37982</v>
      </c>
      <c r="BN15" s="26"/>
      <c r="BO15" s="25">
        <v>8439</v>
      </c>
      <c r="BP15" s="20">
        <v>9484</v>
      </c>
      <c r="BQ15" s="20">
        <v>17923</v>
      </c>
      <c r="BR15" s="20">
        <v>12650</v>
      </c>
      <c r="BS15" s="20">
        <v>30573</v>
      </c>
      <c r="BT15" s="20">
        <v>10110</v>
      </c>
      <c r="BU15" s="21">
        <v>40683</v>
      </c>
      <c r="BV15" s="26"/>
      <c r="BW15" s="25">
        <v>7211</v>
      </c>
      <c r="BX15" s="20">
        <v>6723</v>
      </c>
      <c r="BY15" s="20">
        <v>13934</v>
      </c>
      <c r="BZ15" s="20">
        <v>7839</v>
      </c>
      <c r="CA15" s="20">
        <v>21773</v>
      </c>
      <c r="CB15" s="20">
        <v>11300</v>
      </c>
      <c r="CC15" s="21">
        <v>33073</v>
      </c>
      <c r="CD15" s="26"/>
      <c r="CE15" s="25">
        <v>0</v>
      </c>
      <c r="CF15" s="20">
        <v>0</v>
      </c>
      <c r="CG15" s="20">
        <v>0</v>
      </c>
      <c r="CH15" s="20">
        <v>2882</v>
      </c>
      <c r="CI15" s="20">
        <v>2882</v>
      </c>
      <c r="CJ15" s="20">
        <v>6739</v>
      </c>
      <c r="CK15" s="21">
        <v>9621</v>
      </c>
    </row>
    <row r="16" spans="1:89" s="14" customFormat="1" x14ac:dyDescent="0.25">
      <c r="A16" s="88" t="s">
        <v>12</v>
      </c>
      <c r="B16" s="20"/>
      <c r="C16" s="25">
        <v>2142</v>
      </c>
      <c r="D16" s="20">
        <f t="shared" si="0"/>
        <v>2551</v>
      </c>
      <c r="E16" s="20">
        <v>4693</v>
      </c>
      <c r="F16" s="20">
        <v>3209</v>
      </c>
      <c r="G16" s="20">
        <v>7902</v>
      </c>
      <c r="H16" s="20">
        <v>0</v>
      </c>
      <c r="I16" s="21">
        <v>7902</v>
      </c>
      <c r="J16" s="12"/>
      <c r="K16" s="25">
        <v>3207</v>
      </c>
      <c r="L16" s="20">
        <v>4191</v>
      </c>
      <c r="M16" s="20">
        <v>7398</v>
      </c>
      <c r="N16" s="20">
        <v>4409</v>
      </c>
      <c r="O16" s="20">
        <v>11807</v>
      </c>
      <c r="P16" s="20">
        <v>1330</v>
      </c>
      <c r="Q16" s="21">
        <v>13137</v>
      </c>
      <c r="R16" s="12"/>
      <c r="S16" s="25">
        <v>3649</v>
      </c>
      <c r="T16" s="20">
        <v>3677</v>
      </c>
      <c r="U16" s="20">
        <v>7326</v>
      </c>
      <c r="V16" s="20">
        <v>3666</v>
      </c>
      <c r="W16" s="20">
        <v>10992</v>
      </c>
      <c r="X16" s="20">
        <v>3172</v>
      </c>
      <c r="Y16" s="21">
        <v>14164</v>
      </c>
      <c r="Z16" s="26"/>
      <c r="AA16" s="25">
        <v>3484</v>
      </c>
      <c r="AB16" s="20">
        <v>3333</v>
      </c>
      <c r="AC16" s="20">
        <v>6817</v>
      </c>
      <c r="AD16" s="20">
        <v>3344</v>
      </c>
      <c r="AE16" s="20">
        <v>10161</v>
      </c>
      <c r="AF16" s="20">
        <v>3276</v>
      </c>
      <c r="AG16" s="21">
        <v>13437</v>
      </c>
      <c r="AH16" s="26"/>
      <c r="AI16" s="25">
        <v>3407</v>
      </c>
      <c r="AJ16" s="20">
        <v>3620</v>
      </c>
      <c r="AK16" s="20">
        <v>7027</v>
      </c>
      <c r="AL16" s="20">
        <v>3766</v>
      </c>
      <c r="AM16" s="20">
        <v>10793</v>
      </c>
      <c r="AN16" s="20">
        <v>3030</v>
      </c>
      <c r="AO16" s="21">
        <v>13823</v>
      </c>
      <c r="AP16" s="26"/>
      <c r="AQ16" s="25">
        <v>3810</v>
      </c>
      <c r="AR16" s="20">
        <v>3622</v>
      </c>
      <c r="AS16" s="20">
        <v>7432</v>
      </c>
      <c r="AT16" s="20">
        <v>4057</v>
      </c>
      <c r="AU16" s="20">
        <v>11489</v>
      </c>
      <c r="AV16" s="20">
        <v>3149</v>
      </c>
      <c r="AW16" s="21">
        <v>14638</v>
      </c>
      <c r="AX16" s="26"/>
      <c r="AY16" s="25">
        <v>4641</v>
      </c>
      <c r="AZ16" s="20">
        <v>5556</v>
      </c>
      <c r="BA16" s="20">
        <v>10197</v>
      </c>
      <c r="BB16" s="20">
        <v>4541</v>
      </c>
      <c r="BC16" s="20">
        <v>14738</v>
      </c>
      <c r="BD16" s="20">
        <v>3180</v>
      </c>
      <c r="BE16" s="21">
        <v>17918</v>
      </c>
      <c r="BF16" s="26"/>
      <c r="BG16" s="25">
        <v>3390</v>
      </c>
      <c r="BH16" s="20">
        <v>4042</v>
      </c>
      <c r="BI16" s="20">
        <v>7432</v>
      </c>
      <c r="BJ16" s="20">
        <v>4211</v>
      </c>
      <c r="BK16" s="20">
        <v>11643</v>
      </c>
      <c r="BL16" s="20">
        <v>4450</v>
      </c>
      <c r="BM16" s="21">
        <v>16093</v>
      </c>
      <c r="BN16" s="26"/>
      <c r="BO16" s="25">
        <v>3028</v>
      </c>
      <c r="BP16" s="20">
        <v>3493</v>
      </c>
      <c r="BQ16" s="20">
        <v>6521</v>
      </c>
      <c r="BR16" s="20">
        <v>3860</v>
      </c>
      <c r="BS16" s="20">
        <v>10381</v>
      </c>
      <c r="BT16" s="20">
        <v>3135</v>
      </c>
      <c r="BU16" s="21">
        <v>13516</v>
      </c>
      <c r="BV16" s="26"/>
      <c r="BW16" s="25">
        <v>2176</v>
      </c>
      <c r="BX16" s="20">
        <v>2403</v>
      </c>
      <c r="BY16" s="20">
        <v>4579</v>
      </c>
      <c r="BZ16" s="20">
        <v>3171</v>
      </c>
      <c r="CA16" s="20">
        <v>7750</v>
      </c>
      <c r="CB16" s="20">
        <v>3366</v>
      </c>
      <c r="CC16" s="21">
        <v>11116</v>
      </c>
      <c r="CD16" s="26"/>
      <c r="CE16" s="25">
        <v>0</v>
      </c>
      <c r="CF16" s="20">
        <v>0</v>
      </c>
      <c r="CG16" s="20">
        <v>0</v>
      </c>
      <c r="CH16" s="20">
        <v>1222</v>
      </c>
      <c r="CI16" s="20">
        <v>1222</v>
      </c>
      <c r="CJ16" s="20">
        <v>1328</v>
      </c>
      <c r="CK16" s="21">
        <v>2550</v>
      </c>
    </row>
    <row r="17" spans="1:89" ht="15" customHeight="1" outlineLevel="1" x14ac:dyDescent="0.25">
      <c r="A17" s="42" t="s">
        <v>13</v>
      </c>
      <c r="B17" s="28"/>
      <c r="C17" s="27">
        <v>2185</v>
      </c>
      <c r="D17" s="28">
        <f t="shared" si="0"/>
        <v>1971</v>
      </c>
      <c r="E17" s="28">
        <v>4156</v>
      </c>
      <c r="F17" s="28">
        <v>1826</v>
      </c>
      <c r="G17" s="28">
        <v>5982</v>
      </c>
      <c r="H17" s="28">
        <v>0</v>
      </c>
      <c r="I17" s="29">
        <v>5982</v>
      </c>
      <c r="J17" s="6"/>
      <c r="K17" s="27">
        <v>2460</v>
      </c>
      <c r="L17" s="28">
        <v>2435</v>
      </c>
      <c r="M17" s="28">
        <v>4895</v>
      </c>
      <c r="N17" s="28">
        <v>2667</v>
      </c>
      <c r="O17" s="28">
        <v>7562</v>
      </c>
      <c r="P17" s="28">
        <v>2995</v>
      </c>
      <c r="Q17" s="29">
        <v>10557</v>
      </c>
      <c r="R17" s="6"/>
      <c r="S17" s="27">
        <v>2481</v>
      </c>
      <c r="T17" s="28">
        <v>2623</v>
      </c>
      <c r="U17" s="22">
        <v>5104</v>
      </c>
      <c r="V17" s="28">
        <v>2559</v>
      </c>
      <c r="W17" s="22">
        <v>7663</v>
      </c>
      <c r="X17" s="28">
        <v>2181</v>
      </c>
      <c r="Y17" s="23">
        <v>9844</v>
      </c>
      <c r="Z17" s="30"/>
      <c r="AA17" s="27">
        <v>2323</v>
      </c>
      <c r="AB17" s="28">
        <v>2199</v>
      </c>
      <c r="AC17" s="22">
        <v>4522</v>
      </c>
      <c r="AD17" s="28">
        <v>2368</v>
      </c>
      <c r="AE17" s="22">
        <v>6890</v>
      </c>
      <c r="AF17" s="28">
        <v>2255</v>
      </c>
      <c r="AG17" s="23">
        <v>9145</v>
      </c>
      <c r="AH17" s="30"/>
      <c r="AI17" s="27">
        <v>2105</v>
      </c>
      <c r="AJ17" s="28">
        <v>2171</v>
      </c>
      <c r="AK17" s="22">
        <v>4276</v>
      </c>
      <c r="AL17" s="28">
        <v>2221</v>
      </c>
      <c r="AM17" s="22">
        <v>6497</v>
      </c>
      <c r="AN17" s="28">
        <v>2004</v>
      </c>
      <c r="AO17" s="23">
        <v>8501</v>
      </c>
      <c r="AP17" s="30"/>
      <c r="AQ17" s="27">
        <v>2149</v>
      </c>
      <c r="AR17" s="28">
        <v>2107</v>
      </c>
      <c r="AS17" s="22">
        <v>4256</v>
      </c>
      <c r="AT17" s="28">
        <v>1970</v>
      </c>
      <c r="AU17" s="22">
        <v>6226</v>
      </c>
      <c r="AV17" s="28">
        <v>1732</v>
      </c>
      <c r="AW17" s="23">
        <v>7958</v>
      </c>
      <c r="AX17" s="30"/>
      <c r="AY17" s="27">
        <v>1943</v>
      </c>
      <c r="AZ17" s="28">
        <v>1691</v>
      </c>
      <c r="BA17" s="22">
        <v>3634</v>
      </c>
      <c r="BB17" s="28">
        <v>1936</v>
      </c>
      <c r="BC17" s="22">
        <v>5570</v>
      </c>
      <c r="BD17" s="28">
        <v>2076</v>
      </c>
      <c r="BE17" s="23">
        <v>7646</v>
      </c>
      <c r="BF17" s="30"/>
      <c r="BG17" s="27">
        <v>1787</v>
      </c>
      <c r="BH17" s="28">
        <v>1858</v>
      </c>
      <c r="BI17" s="22">
        <v>3645</v>
      </c>
      <c r="BJ17" s="28">
        <v>1644</v>
      </c>
      <c r="BK17" s="22">
        <v>5289</v>
      </c>
      <c r="BL17" s="28">
        <v>1658</v>
      </c>
      <c r="BM17" s="23">
        <v>6947</v>
      </c>
      <c r="BN17" s="30"/>
      <c r="BO17" s="27">
        <v>2113</v>
      </c>
      <c r="BP17" s="28">
        <v>1937</v>
      </c>
      <c r="BQ17" s="22">
        <v>4050</v>
      </c>
      <c r="BR17" s="28">
        <v>1668</v>
      </c>
      <c r="BS17" s="22">
        <v>5718</v>
      </c>
      <c r="BT17" s="28">
        <v>1737</v>
      </c>
      <c r="BU17" s="23">
        <v>7455</v>
      </c>
      <c r="BV17" s="30"/>
      <c r="BW17" s="27">
        <v>1447</v>
      </c>
      <c r="BX17" s="28">
        <v>1671</v>
      </c>
      <c r="BY17" s="28">
        <v>3118</v>
      </c>
      <c r="BZ17" s="28">
        <v>1596</v>
      </c>
      <c r="CA17" s="22">
        <v>4714</v>
      </c>
      <c r="CB17" s="28">
        <v>1788</v>
      </c>
      <c r="CC17" s="23">
        <v>6502</v>
      </c>
      <c r="CD17" s="30"/>
      <c r="CE17" s="27">
        <v>0</v>
      </c>
      <c r="CF17" s="28">
        <v>0</v>
      </c>
      <c r="CG17" s="22">
        <v>0</v>
      </c>
      <c r="CH17" s="28">
        <v>786</v>
      </c>
      <c r="CI17" s="22">
        <v>786</v>
      </c>
      <c r="CJ17" s="28">
        <v>1659</v>
      </c>
      <c r="CK17" s="23">
        <v>2445</v>
      </c>
    </row>
    <row r="18" spans="1:89" ht="15" customHeight="1" outlineLevel="1" x14ac:dyDescent="0.25">
      <c r="A18" s="42" t="s">
        <v>14</v>
      </c>
      <c r="B18" s="28"/>
      <c r="C18" s="27">
        <v>88</v>
      </c>
      <c r="D18" s="28">
        <f t="shared" si="0"/>
        <v>87</v>
      </c>
      <c r="E18" s="28">
        <v>175</v>
      </c>
      <c r="F18" s="28">
        <v>-175</v>
      </c>
      <c r="G18" s="28">
        <v>0</v>
      </c>
      <c r="H18" s="28">
        <v>0</v>
      </c>
      <c r="I18" s="29">
        <v>0</v>
      </c>
      <c r="J18" s="6"/>
      <c r="K18" s="27">
        <v>87</v>
      </c>
      <c r="L18" s="28">
        <v>88</v>
      </c>
      <c r="M18" s="28">
        <v>175</v>
      </c>
      <c r="N18" s="28">
        <v>87</v>
      </c>
      <c r="O18" s="28">
        <v>262</v>
      </c>
      <c r="P18" s="28">
        <v>88</v>
      </c>
      <c r="Q18" s="29">
        <v>350</v>
      </c>
      <c r="R18" s="6"/>
      <c r="S18" s="27">
        <v>88</v>
      </c>
      <c r="T18" s="28">
        <v>87</v>
      </c>
      <c r="U18" s="22">
        <v>175</v>
      </c>
      <c r="V18" s="28">
        <v>88</v>
      </c>
      <c r="W18" s="22">
        <v>263</v>
      </c>
      <c r="X18" s="28">
        <v>87</v>
      </c>
      <c r="Y18" s="23">
        <v>350</v>
      </c>
      <c r="Z18" s="30"/>
      <c r="AA18" s="27">
        <v>88</v>
      </c>
      <c r="AB18" s="28">
        <v>87</v>
      </c>
      <c r="AC18" s="22">
        <v>175</v>
      </c>
      <c r="AD18" s="28">
        <v>88</v>
      </c>
      <c r="AE18" s="22">
        <v>263</v>
      </c>
      <c r="AF18" s="28">
        <v>87</v>
      </c>
      <c r="AG18" s="23">
        <v>350</v>
      </c>
      <c r="AH18" s="30"/>
      <c r="AI18" s="27">
        <v>88</v>
      </c>
      <c r="AJ18" s="28">
        <v>87</v>
      </c>
      <c r="AK18" s="22">
        <v>175</v>
      </c>
      <c r="AL18" s="28">
        <v>88</v>
      </c>
      <c r="AM18" s="22">
        <v>263</v>
      </c>
      <c r="AN18" s="28">
        <v>87</v>
      </c>
      <c r="AO18" s="23">
        <v>350</v>
      </c>
      <c r="AP18" s="30"/>
      <c r="AQ18" s="27">
        <v>88</v>
      </c>
      <c r="AR18" s="28">
        <v>87</v>
      </c>
      <c r="AS18" s="22">
        <v>175</v>
      </c>
      <c r="AT18" s="28">
        <v>88</v>
      </c>
      <c r="AU18" s="22">
        <v>263</v>
      </c>
      <c r="AV18" s="28">
        <v>87</v>
      </c>
      <c r="AW18" s="23">
        <v>350</v>
      </c>
      <c r="AX18" s="30"/>
      <c r="AY18" s="27">
        <v>88</v>
      </c>
      <c r="AZ18" s="28">
        <v>87</v>
      </c>
      <c r="BA18" s="22">
        <v>175</v>
      </c>
      <c r="BB18" s="28">
        <v>88</v>
      </c>
      <c r="BC18" s="22">
        <v>263</v>
      </c>
      <c r="BD18" s="28">
        <v>87</v>
      </c>
      <c r="BE18" s="23">
        <v>350</v>
      </c>
      <c r="BF18" s="30"/>
      <c r="BG18" s="27">
        <v>88</v>
      </c>
      <c r="BH18" s="28">
        <v>87</v>
      </c>
      <c r="BI18" s="22">
        <v>175</v>
      </c>
      <c r="BJ18" s="28">
        <v>88</v>
      </c>
      <c r="BK18" s="22">
        <v>263</v>
      </c>
      <c r="BL18" s="28">
        <v>0</v>
      </c>
      <c r="BM18" s="23">
        <v>263</v>
      </c>
      <c r="BN18" s="30"/>
      <c r="BO18" s="27">
        <v>88</v>
      </c>
      <c r="BP18" s="28">
        <v>87</v>
      </c>
      <c r="BQ18" s="22">
        <v>175</v>
      </c>
      <c r="BR18" s="28">
        <v>88</v>
      </c>
      <c r="BS18" s="22">
        <v>263</v>
      </c>
      <c r="BT18" s="28">
        <v>87</v>
      </c>
      <c r="BU18" s="23">
        <v>350</v>
      </c>
      <c r="BV18" s="30"/>
      <c r="BW18" s="27">
        <v>87</v>
      </c>
      <c r="BX18" s="28">
        <v>87</v>
      </c>
      <c r="BY18" s="28">
        <v>174</v>
      </c>
      <c r="BZ18" s="28">
        <v>88</v>
      </c>
      <c r="CA18" s="22">
        <v>262</v>
      </c>
      <c r="CB18" s="28">
        <v>87</v>
      </c>
      <c r="CC18" s="23">
        <v>349</v>
      </c>
      <c r="CD18" s="30"/>
      <c r="CE18" s="27">
        <v>0</v>
      </c>
      <c r="CF18" s="28">
        <v>0</v>
      </c>
      <c r="CG18" s="22">
        <v>0</v>
      </c>
      <c r="CH18" s="28">
        <v>58</v>
      </c>
      <c r="CI18" s="22">
        <v>58</v>
      </c>
      <c r="CJ18" s="28">
        <v>87</v>
      </c>
      <c r="CK18" s="23">
        <v>145</v>
      </c>
    </row>
    <row r="19" spans="1:89" ht="17.25" customHeight="1" outlineLevel="1" x14ac:dyDescent="0.25">
      <c r="A19" s="42" t="s">
        <v>15</v>
      </c>
      <c r="B19" s="22"/>
      <c r="C19" s="24">
        <v>446</v>
      </c>
      <c r="D19" s="22">
        <f t="shared" si="0"/>
        <v>446</v>
      </c>
      <c r="E19" s="22">
        <v>892</v>
      </c>
      <c r="F19" s="22">
        <v>452</v>
      </c>
      <c r="G19" s="22">
        <v>1344</v>
      </c>
      <c r="H19" s="22">
        <v>0</v>
      </c>
      <c r="I19" s="23">
        <v>1344</v>
      </c>
      <c r="J19" s="6"/>
      <c r="K19" s="24">
        <v>445</v>
      </c>
      <c r="L19" s="22">
        <v>405</v>
      </c>
      <c r="M19" s="22">
        <v>850</v>
      </c>
      <c r="N19" s="22">
        <v>472</v>
      </c>
      <c r="O19" s="22">
        <v>1322</v>
      </c>
      <c r="P19" s="22">
        <v>446</v>
      </c>
      <c r="Q19" s="23">
        <v>1768</v>
      </c>
      <c r="R19" s="6"/>
      <c r="S19" s="24">
        <v>445</v>
      </c>
      <c r="T19" s="22">
        <v>444</v>
      </c>
      <c r="U19" s="22">
        <v>889</v>
      </c>
      <c r="V19" s="22">
        <v>445</v>
      </c>
      <c r="W19" s="22">
        <v>1334</v>
      </c>
      <c r="X19" s="22">
        <v>445</v>
      </c>
      <c r="Y19" s="23">
        <v>1779</v>
      </c>
      <c r="Z19" s="30"/>
      <c r="AA19" s="24">
        <v>319</v>
      </c>
      <c r="AB19" s="22">
        <v>310</v>
      </c>
      <c r="AC19" s="22">
        <v>629</v>
      </c>
      <c r="AD19" s="22">
        <v>311</v>
      </c>
      <c r="AE19" s="22">
        <v>940</v>
      </c>
      <c r="AF19" s="22">
        <v>311</v>
      </c>
      <c r="AG19" s="23">
        <v>1251</v>
      </c>
      <c r="AH19" s="30"/>
      <c r="AI19" s="24">
        <v>322</v>
      </c>
      <c r="AJ19" s="22">
        <v>330</v>
      </c>
      <c r="AK19" s="22">
        <v>652</v>
      </c>
      <c r="AL19" s="22">
        <v>327</v>
      </c>
      <c r="AM19" s="22">
        <v>979</v>
      </c>
      <c r="AN19" s="22">
        <v>326</v>
      </c>
      <c r="AO19" s="23">
        <v>1305</v>
      </c>
      <c r="AP19" s="30"/>
      <c r="AQ19" s="24">
        <v>330</v>
      </c>
      <c r="AR19" s="22">
        <v>329</v>
      </c>
      <c r="AS19" s="22">
        <v>659</v>
      </c>
      <c r="AT19" s="22">
        <v>330</v>
      </c>
      <c r="AU19" s="22">
        <v>989</v>
      </c>
      <c r="AV19" s="22">
        <v>326</v>
      </c>
      <c r="AW19" s="23">
        <v>1315</v>
      </c>
      <c r="AX19" s="30"/>
      <c r="AY19" s="24">
        <v>376</v>
      </c>
      <c r="AZ19" s="22">
        <v>376</v>
      </c>
      <c r="BA19" s="22">
        <v>752</v>
      </c>
      <c r="BB19" s="22">
        <v>367</v>
      </c>
      <c r="BC19" s="22">
        <v>1119</v>
      </c>
      <c r="BD19" s="22">
        <v>790</v>
      </c>
      <c r="BE19" s="23">
        <v>1909</v>
      </c>
      <c r="BF19" s="30"/>
      <c r="BG19" s="24">
        <v>371</v>
      </c>
      <c r="BH19" s="22">
        <v>370</v>
      </c>
      <c r="BI19" s="22">
        <v>741</v>
      </c>
      <c r="BJ19" s="22">
        <v>371</v>
      </c>
      <c r="BK19" s="22">
        <v>1112</v>
      </c>
      <c r="BL19" s="22">
        <v>371</v>
      </c>
      <c r="BM19" s="23">
        <v>1483</v>
      </c>
      <c r="BN19" s="30"/>
      <c r="BO19" s="24">
        <v>371</v>
      </c>
      <c r="BP19" s="22">
        <v>370</v>
      </c>
      <c r="BQ19" s="22">
        <v>741</v>
      </c>
      <c r="BR19" s="22">
        <v>371</v>
      </c>
      <c r="BS19" s="22">
        <v>1112</v>
      </c>
      <c r="BT19" s="22">
        <v>371</v>
      </c>
      <c r="BU19" s="23">
        <v>1483</v>
      </c>
      <c r="BV19" s="30"/>
      <c r="BW19" s="24">
        <v>294</v>
      </c>
      <c r="BX19" s="22">
        <v>294</v>
      </c>
      <c r="BY19" s="22">
        <v>588</v>
      </c>
      <c r="BZ19" s="22">
        <v>370</v>
      </c>
      <c r="CA19" s="22">
        <v>958</v>
      </c>
      <c r="CB19" s="22">
        <v>371</v>
      </c>
      <c r="CC19" s="23">
        <v>1329</v>
      </c>
      <c r="CD19" s="30"/>
      <c r="CE19" s="24">
        <v>0</v>
      </c>
      <c r="CF19" s="22">
        <v>0</v>
      </c>
      <c r="CG19" s="22">
        <v>0</v>
      </c>
      <c r="CH19" s="22">
        <v>238</v>
      </c>
      <c r="CI19" s="22">
        <v>238</v>
      </c>
      <c r="CJ19" s="22">
        <v>279</v>
      </c>
      <c r="CK19" s="23">
        <v>517</v>
      </c>
    </row>
    <row r="20" spans="1:89" s="163" customFormat="1" ht="17.25" customHeight="1" outlineLevel="1" x14ac:dyDescent="0.25">
      <c r="A20" s="42" t="s">
        <v>16</v>
      </c>
      <c r="B20" s="161"/>
      <c r="C20" s="160">
        <v>0</v>
      </c>
      <c r="D20" s="161">
        <f t="shared" si="0"/>
        <v>0</v>
      </c>
      <c r="E20" s="161">
        <v>0</v>
      </c>
      <c r="F20" s="161">
        <v>0</v>
      </c>
      <c r="G20" s="161">
        <v>0</v>
      </c>
      <c r="H20" s="161">
        <v>0</v>
      </c>
      <c r="I20" s="162">
        <v>0</v>
      </c>
      <c r="J20" s="35"/>
      <c r="K20" s="160">
        <v>8907</v>
      </c>
      <c r="L20" s="161">
        <v>258</v>
      </c>
      <c r="M20" s="161">
        <v>9165</v>
      </c>
      <c r="N20" s="161">
        <v>0</v>
      </c>
      <c r="O20" s="161">
        <v>9165</v>
      </c>
      <c r="P20" s="161">
        <v>0</v>
      </c>
      <c r="Q20" s="162">
        <v>9165</v>
      </c>
      <c r="R20" s="35"/>
      <c r="S20" s="160">
        <v>0</v>
      </c>
      <c r="T20" s="161">
        <v>0</v>
      </c>
      <c r="U20" s="161">
        <v>0</v>
      </c>
      <c r="V20" s="161">
        <v>0</v>
      </c>
      <c r="W20" s="161">
        <v>0</v>
      </c>
      <c r="X20" s="161">
        <v>0</v>
      </c>
      <c r="Y20" s="162">
        <v>0</v>
      </c>
      <c r="Z20" s="164"/>
      <c r="AA20" s="160">
        <v>0</v>
      </c>
      <c r="AB20" s="161">
        <v>900</v>
      </c>
      <c r="AC20" s="161">
        <v>900</v>
      </c>
      <c r="AD20" s="161">
        <v>0</v>
      </c>
      <c r="AE20" s="161">
        <v>900</v>
      </c>
      <c r="AF20" s="161">
        <v>12018</v>
      </c>
      <c r="AG20" s="162">
        <v>12918</v>
      </c>
      <c r="AH20" s="164"/>
      <c r="AI20" s="160">
        <v>0</v>
      </c>
      <c r="AJ20" s="161">
        <v>0</v>
      </c>
      <c r="AK20" s="161">
        <v>0</v>
      </c>
      <c r="AL20" s="161">
        <v>0</v>
      </c>
      <c r="AM20" s="161">
        <v>0</v>
      </c>
      <c r="AN20" s="161">
        <v>0</v>
      </c>
      <c r="AO20" s="162">
        <v>0</v>
      </c>
      <c r="AP20" s="164"/>
      <c r="AQ20" s="160">
        <v>0</v>
      </c>
      <c r="AR20" s="161">
        <v>0</v>
      </c>
      <c r="AS20" s="161">
        <v>0</v>
      </c>
      <c r="AT20" s="161">
        <v>0</v>
      </c>
      <c r="AU20" s="161">
        <v>0</v>
      </c>
      <c r="AV20" s="161">
        <v>0</v>
      </c>
      <c r="AW20" s="162">
        <v>0</v>
      </c>
      <c r="AX20" s="164"/>
      <c r="AY20" s="160">
        <v>0</v>
      </c>
      <c r="AZ20" s="161">
        <v>0</v>
      </c>
      <c r="BA20" s="161">
        <v>0</v>
      </c>
      <c r="BB20" s="161">
        <v>0</v>
      </c>
      <c r="BC20" s="161">
        <v>0</v>
      </c>
      <c r="BD20" s="161">
        <v>0</v>
      </c>
      <c r="BE20" s="162">
        <v>0</v>
      </c>
      <c r="BF20" s="164"/>
      <c r="BG20" s="160">
        <v>0</v>
      </c>
      <c r="BH20" s="161">
        <v>0</v>
      </c>
      <c r="BI20" s="161">
        <v>0</v>
      </c>
      <c r="BJ20" s="161">
        <v>0</v>
      </c>
      <c r="BK20" s="161">
        <v>0</v>
      </c>
      <c r="BL20" s="161">
        <v>0</v>
      </c>
      <c r="BM20" s="162">
        <v>0</v>
      </c>
      <c r="BN20" s="164"/>
      <c r="BO20" s="160">
        <v>0</v>
      </c>
      <c r="BP20" s="161">
        <v>0</v>
      </c>
      <c r="BQ20" s="161">
        <v>0</v>
      </c>
      <c r="BR20" s="161">
        <v>0</v>
      </c>
      <c r="BS20" s="161">
        <v>0</v>
      </c>
      <c r="BT20" s="161">
        <v>0</v>
      </c>
      <c r="BU20" s="162">
        <v>0</v>
      </c>
      <c r="BV20" s="164"/>
      <c r="BW20" s="160">
        <v>0</v>
      </c>
      <c r="BX20" s="161">
        <v>0</v>
      </c>
      <c r="BY20" s="161">
        <v>0</v>
      </c>
      <c r="BZ20" s="161">
        <v>0</v>
      </c>
      <c r="CA20" s="161">
        <v>0</v>
      </c>
      <c r="CB20" s="161">
        <v>0</v>
      </c>
      <c r="CC20" s="162">
        <v>0</v>
      </c>
      <c r="CD20" s="164"/>
      <c r="CE20" s="160">
        <v>0</v>
      </c>
      <c r="CF20" s="161">
        <v>0</v>
      </c>
      <c r="CG20" s="161">
        <v>0</v>
      </c>
      <c r="CH20" s="161">
        <v>0</v>
      </c>
      <c r="CI20" s="161">
        <v>0</v>
      </c>
      <c r="CJ20" s="161">
        <v>0</v>
      </c>
      <c r="CK20" s="162">
        <v>0</v>
      </c>
    </row>
    <row r="21" spans="1:89" s="14" customFormat="1" x14ac:dyDescent="0.25">
      <c r="A21" s="88" t="s">
        <v>17</v>
      </c>
      <c r="B21" s="20"/>
      <c r="C21" s="25">
        <v>-577</v>
      </c>
      <c r="D21" s="20">
        <f t="shared" si="0"/>
        <v>47</v>
      </c>
      <c r="E21" s="20">
        <v>-530</v>
      </c>
      <c r="F21" s="20">
        <v>1106</v>
      </c>
      <c r="G21" s="20">
        <v>576</v>
      </c>
      <c r="H21" s="20">
        <v>0</v>
      </c>
      <c r="I21" s="21">
        <v>576</v>
      </c>
      <c r="J21" s="12"/>
      <c r="K21" s="25">
        <v>-8692</v>
      </c>
      <c r="L21" s="20">
        <v>1005</v>
      </c>
      <c r="M21" s="20">
        <v>-7687</v>
      </c>
      <c r="N21" s="20">
        <v>1183</v>
      </c>
      <c r="O21" s="20">
        <v>-6504</v>
      </c>
      <c r="P21" s="20">
        <v>-2199</v>
      </c>
      <c r="Q21" s="21">
        <v>-8703</v>
      </c>
      <c r="R21" s="12"/>
      <c r="S21" s="25">
        <v>635</v>
      </c>
      <c r="T21" s="20">
        <v>523</v>
      </c>
      <c r="U21" s="20">
        <v>1158</v>
      </c>
      <c r="V21" s="20">
        <v>574</v>
      </c>
      <c r="W21" s="20">
        <v>1732</v>
      </c>
      <c r="X21" s="20">
        <v>459</v>
      </c>
      <c r="Y21" s="21">
        <v>2191</v>
      </c>
      <c r="Z21" s="26"/>
      <c r="AA21" s="25">
        <v>754</v>
      </c>
      <c r="AB21" s="20">
        <v>-163</v>
      </c>
      <c r="AC21" s="20">
        <v>591</v>
      </c>
      <c r="AD21" s="20">
        <v>577</v>
      </c>
      <c r="AE21" s="20">
        <v>1168</v>
      </c>
      <c r="AF21" s="20">
        <v>-11395</v>
      </c>
      <c r="AG21" s="21">
        <v>-10227</v>
      </c>
      <c r="AH21" s="26"/>
      <c r="AI21" s="25">
        <v>892</v>
      </c>
      <c r="AJ21" s="20">
        <v>1032</v>
      </c>
      <c r="AK21" s="20">
        <v>1924</v>
      </c>
      <c r="AL21" s="20">
        <v>1130</v>
      </c>
      <c r="AM21" s="20">
        <v>3054</v>
      </c>
      <c r="AN21" s="20">
        <v>613</v>
      </c>
      <c r="AO21" s="21">
        <v>3667</v>
      </c>
      <c r="AP21" s="26"/>
      <c r="AQ21" s="25">
        <v>1243</v>
      </c>
      <c r="AR21" s="20">
        <v>1099</v>
      </c>
      <c r="AS21" s="20">
        <v>2342</v>
      </c>
      <c r="AT21" s="20">
        <v>1669</v>
      </c>
      <c r="AU21" s="20">
        <v>4011</v>
      </c>
      <c r="AV21" s="20">
        <v>1004</v>
      </c>
      <c r="AW21" s="21">
        <v>5015</v>
      </c>
      <c r="AX21" s="26"/>
      <c r="AY21" s="25">
        <v>2234</v>
      </c>
      <c r="AZ21" s="20">
        <v>3402</v>
      </c>
      <c r="BA21" s="20">
        <v>5636</v>
      </c>
      <c r="BB21" s="20">
        <v>2150</v>
      </c>
      <c r="BC21" s="20">
        <v>7786</v>
      </c>
      <c r="BD21" s="20">
        <v>227</v>
      </c>
      <c r="BE21" s="21">
        <v>8013</v>
      </c>
      <c r="BF21" s="26"/>
      <c r="BG21" s="25">
        <v>1144</v>
      </c>
      <c r="BH21" s="20">
        <v>1727</v>
      </c>
      <c r="BI21" s="20">
        <v>2871</v>
      </c>
      <c r="BJ21" s="20">
        <v>2108</v>
      </c>
      <c r="BK21" s="20">
        <v>4979</v>
      </c>
      <c r="BL21" s="20">
        <v>2421</v>
      </c>
      <c r="BM21" s="21">
        <v>7400</v>
      </c>
      <c r="BN21" s="26"/>
      <c r="BO21" s="25">
        <v>456</v>
      </c>
      <c r="BP21" s="20">
        <v>1099</v>
      </c>
      <c r="BQ21" s="20">
        <v>1555</v>
      </c>
      <c r="BR21" s="20">
        <v>1733</v>
      </c>
      <c r="BS21" s="20">
        <v>3288</v>
      </c>
      <c r="BT21" s="20">
        <v>940</v>
      </c>
      <c r="BU21" s="21">
        <v>4228</v>
      </c>
      <c r="BV21" s="26"/>
      <c r="BW21" s="25">
        <v>348</v>
      </c>
      <c r="BX21" s="20">
        <v>351</v>
      </c>
      <c r="BY21" s="20">
        <v>699</v>
      </c>
      <c r="BZ21" s="20">
        <v>1117</v>
      </c>
      <c r="CA21" s="20">
        <v>1816</v>
      </c>
      <c r="CB21" s="20">
        <v>1120</v>
      </c>
      <c r="CC21" s="21">
        <v>2936</v>
      </c>
      <c r="CD21" s="26"/>
      <c r="CE21" s="25">
        <v>0</v>
      </c>
      <c r="CF21" s="20">
        <v>0</v>
      </c>
      <c r="CG21" s="20">
        <v>0</v>
      </c>
      <c r="CH21" s="20">
        <v>140</v>
      </c>
      <c r="CI21" s="20">
        <v>140</v>
      </c>
      <c r="CJ21" s="20">
        <v>-697</v>
      </c>
      <c r="CK21" s="21">
        <v>-557</v>
      </c>
    </row>
    <row r="22" spans="1:89" ht="15" customHeight="1" outlineLevel="1" x14ac:dyDescent="0.25">
      <c r="A22" s="42" t="s">
        <v>18</v>
      </c>
      <c r="B22" s="28"/>
      <c r="C22" s="27">
        <v>-151</v>
      </c>
      <c r="D22" s="28">
        <f t="shared" si="0"/>
        <v>-1281</v>
      </c>
      <c r="E22" s="28">
        <v>-1432</v>
      </c>
      <c r="F22" s="28">
        <v>2147</v>
      </c>
      <c r="G22" s="28">
        <v>715</v>
      </c>
      <c r="H22" s="28">
        <v>0</v>
      </c>
      <c r="I22" s="29">
        <v>715</v>
      </c>
      <c r="J22" s="6"/>
      <c r="K22" s="27">
        <v>15</v>
      </c>
      <c r="L22" s="28">
        <v>12</v>
      </c>
      <c r="M22" s="28">
        <v>27</v>
      </c>
      <c r="N22" s="28">
        <v>14</v>
      </c>
      <c r="O22" s="28">
        <v>41</v>
      </c>
      <c r="P22" s="28">
        <v>5</v>
      </c>
      <c r="Q22" s="29">
        <v>46</v>
      </c>
      <c r="R22" s="6"/>
      <c r="S22" s="27">
        <v>-55</v>
      </c>
      <c r="T22" s="28">
        <v>-4</v>
      </c>
      <c r="U22" s="22">
        <v>-59</v>
      </c>
      <c r="V22" s="28">
        <v>15</v>
      </c>
      <c r="W22" s="22">
        <v>-44</v>
      </c>
      <c r="X22" s="28">
        <v>17</v>
      </c>
      <c r="Y22" s="23">
        <v>-27</v>
      </c>
      <c r="Z22" s="30"/>
      <c r="AA22" s="27">
        <v>30</v>
      </c>
      <c r="AB22" s="28">
        <v>13</v>
      </c>
      <c r="AC22" s="22">
        <v>43</v>
      </c>
      <c r="AD22" s="28">
        <v>20</v>
      </c>
      <c r="AE22" s="22">
        <v>63</v>
      </c>
      <c r="AF22" s="28">
        <v>13</v>
      </c>
      <c r="AG22" s="23">
        <v>76</v>
      </c>
      <c r="AH22" s="30"/>
      <c r="AI22" s="27">
        <v>10</v>
      </c>
      <c r="AJ22" s="28">
        <v>11</v>
      </c>
      <c r="AK22" s="22">
        <v>21</v>
      </c>
      <c r="AL22" s="28">
        <v>5</v>
      </c>
      <c r="AM22" s="22">
        <v>26</v>
      </c>
      <c r="AN22" s="28">
        <v>13</v>
      </c>
      <c r="AO22" s="23">
        <v>39</v>
      </c>
      <c r="AP22" s="30"/>
      <c r="AQ22" s="27">
        <v>7</v>
      </c>
      <c r="AR22" s="28">
        <v>15</v>
      </c>
      <c r="AS22" s="22">
        <v>22</v>
      </c>
      <c r="AT22" s="28">
        <v>9</v>
      </c>
      <c r="AU22" s="22">
        <v>31</v>
      </c>
      <c r="AV22" s="28">
        <v>11</v>
      </c>
      <c r="AW22" s="23">
        <v>42</v>
      </c>
      <c r="AX22" s="30"/>
      <c r="AY22" s="27">
        <v>10</v>
      </c>
      <c r="AZ22" s="28">
        <v>9</v>
      </c>
      <c r="BA22" s="22">
        <v>19</v>
      </c>
      <c r="BB22" s="28">
        <v>-34</v>
      </c>
      <c r="BC22" s="22">
        <v>-15</v>
      </c>
      <c r="BD22" s="28">
        <v>53</v>
      </c>
      <c r="BE22" s="23">
        <v>38</v>
      </c>
      <c r="BF22" s="30"/>
      <c r="BG22" s="27">
        <v>6</v>
      </c>
      <c r="BH22" s="28">
        <v>9</v>
      </c>
      <c r="BI22" s="22">
        <v>15</v>
      </c>
      <c r="BJ22" s="28">
        <v>53</v>
      </c>
      <c r="BK22" s="22">
        <v>68</v>
      </c>
      <c r="BL22" s="28">
        <v>29</v>
      </c>
      <c r="BM22" s="23">
        <v>97</v>
      </c>
      <c r="BN22" s="30"/>
      <c r="BO22" s="27">
        <v>8</v>
      </c>
      <c r="BP22" s="28">
        <v>9</v>
      </c>
      <c r="BQ22" s="22">
        <v>17</v>
      </c>
      <c r="BR22" s="28">
        <v>36</v>
      </c>
      <c r="BS22" s="22">
        <v>53</v>
      </c>
      <c r="BT22" s="28">
        <v>8</v>
      </c>
      <c r="BU22" s="23">
        <v>61</v>
      </c>
      <c r="BV22" s="30"/>
      <c r="BW22" s="27">
        <v>-9</v>
      </c>
      <c r="BX22" s="28">
        <v>9</v>
      </c>
      <c r="BY22" s="22">
        <v>0</v>
      </c>
      <c r="BZ22" s="28">
        <v>15</v>
      </c>
      <c r="CA22" s="22">
        <v>15</v>
      </c>
      <c r="CB22" s="28">
        <v>20</v>
      </c>
      <c r="CC22" s="23">
        <v>35</v>
      </c>
      <c r="CD22" s="30"/>
      <c r="CE22" s="27">
        <v>0</v>
      </c>
      <c r="CF22" s="28">
        <v>0</v>
      </c>
      <c r="CG22" s="22">
        <v>0</v>
      </c>
      <c r="CH22" s="28">
        <v>0</v>
      </c>
      <c r="CI22" s="22">
        <v>0</v>
      </c>
      <c r="CJ22" s="28">
        <v>-59</v>
      </c>
      <c r="CK22" s="23">
        <v>-59</v>
      </c>
    </row>
    <row r="23" spans="1:89" ht="15" customHeight="1" outlineLevel="1" x14ac:dyDescent="0.25">
      <c r="A23" s="42" t="s">
        <v>19</v>
      </c>
      <c r="B23" s="28"/>
      <c r="C23" s="27">
        <v>0</v>
      </c>
      <c r="D23" s="28">
        <f t="shared" si="0"/>
        <v>0</v>
      </c>
      <c r="E23" s="28">
        <v>0</v>
      </c>
      <c r="F23" s="28">
        <v>0</v>
      </c>
      <c r="G23" s="28">
        <v>0</v>
      </c>
      <c r="H23" s="28">
        <v>0</v>
      </c>
      <c r="I23" s="29">
        <v>0</v>
      </c>
      <c r="J23" s="6"/>
      <c r="K23" s="27">
        <v>0</v>
      </c>
      <c r="L23" s="28">
        <v>0</v>
      </c>
      <c r="M23" s="28">
        <v>0</v>
      </c>
      <c r="N23" s="28">
        <v>0</v>
      </c>
      <c r="O23" s="28">
        <v>0</v>
      </c>
      <c r="P23" s="28">
        <v>0</v>
      </c>
      <c r="Q23" s="29">
        <v>0</v>
      </c>
      <c r="R23" s="6"/>
      <c r="S23" s="27">
        <v>0</v>
      </c>
      <c r="T23" s="28">
        <v>0</v>
      </c>
      <c r="U23" s="22">
        <v>0</v>
      </c>
      <c r="V23" s="28">
        <v>1</v>
      </c>
      <c r="W23" s="22">
        <v>1</v>
      </c>
      <c r="X23" s="28">
        <v>0</v>
      </c>
      <c r="Y23" s="23">
        <v>1</v>
      </c>
      <c r="Z23" s="30"/>
      <c r="AA23" s="27">
        <v>0</v>
      </c>
      <c r="AB23" s="28">
        <v>0</v>
      </c>
      <c r="AC23" s="22">
        <v>0</v>
      </c>
      <c r="AD23" s="28">
        <v>0</v>
      </c>
      <c r="AE23" s="22">
        <v>0</v>
      </c>
      <c r="AF23" s="28">
        <v>1</v>
      </c>
      <c r="AG23" s="23">
        <v>1</v>
      </c>
      <c r="AH23" s="30"/>
      <c r="AI23" s="27">
        <v>0</v>
      </c>
      <c r="AJ23" s="28">
        <v>0</v>
      </c>
      <c r="AK23" s="22">
        <v>0</v>
      </c>
      <c r="AL23" s="28">
        <v>0</v>
      </c>
      <c r="AM23" s="22">
        <v>0</v>
      </c>
      <c r="AN23" s="28">
        <v>0</v>
      </c>
      <c r="AO23" s="23">
        <v>0</v>
      </c>
      <c r="AP23" s="30"/>
      <c r="AQ23" s="27">
        <v>0</v>
      </c>
      <c r="AR23" s="28">
        <v>0</v>
      </c>
      <c r="AS23" s="22">
        <v>0</v>
      </c>
      <c r="AT23" s="28">
        <v>1</v>
      </c>
      <c r="AU23" s="22">
        <v>1</v>
      </c>
      <c r="AV23" s="28">
        <v>-1</v>
      </c>
      <c r="AW23" s="23">
        <v>0</v>
      </c>
      <c r="AX23" s="30"/>
      <c r="AY23" s="27">
        <v>0</v>
      </c>
      <c r="AZ23" s="28">
        <v>0</v>
      </c>
      <c r="BA23" s="22">
        <v>0</v>
      </c>
      <c r="BB23" s="28">
        <v>1</v>
      </c>
      <c r="BC23" s="22">
        <v>1</v>
      </c>
      <c r="BD23" s="28">
        <v>-1</v>
      </c>
      <c r="BE23" s="23">
        <v>0</v>
      </c>
      <c r="BF23" s="30"/>
      <c r="BG23" s="27">
        <v>0</v>
      </c>
      <c r="BH23" s="28">
        <v>0</v>
      </c>
      <c r="BI23" s="22">
        <v>0</v>
      </c>
      <c r="BJ23" s="28">
        <v>1</v>
      </c>
      <c r="BK23" s="22">
        <v>1</v>
      </c>
      <c r="BL23" s="28">
        <v>-1</v>
      </c>
      <c r="BM23" s="23">
        <v>0</v>
      </c>
      <c r="BN23" s="30"/>
      <c r="BO23" s="27">
        <v>0</v>
      </c>
      <c r="BP23" s="28">
        <v>0</v>
      </c>
      <c r="BQ23" s="22">
        <v>0</v>
      </c>
      <c r="BR23" s="28">
        <v>1</v>
      </c>
      <c r="BS23" s="22">
        <v>1</v>
      </c>
      <c r="BT23" s="28">
        <v>-1</v>
      </c>
      <c r="BU23" s="23">
        <v>0</v>
      </c>
      <c r="BV23" s="30"/>
      <c r="BW23" s="27">
        <v>12</v>
      </c>
      <c r="BX23" s="28">
        <v>0</v>
      </c>
      <c r="BY23" s="22">
        <v>12</v>
      </c>
      <c r="BZ23" s="28">
        <v>-12</v>
      </c>
      <c r="CA23" s="22">
        <v>0</v>
      </c>
      <c r="CB23" s="28">
        <v>0</v>
      </c>
      <c r="CC23" s="23">
        <v>0</v>
      </c>
      <c r="CD23" s="30"/>
      <c r="CE23" s="27">
        <v>0</v>
      </c>
      <c r="CF23" s="28">
        <v>0</v>
      </c>
      <c r="CG23" s="22">
        <v>0</v>
      </c>
      <c r="CH23" s="28">
        <v>15</v>
      </c>
      <c r="CI23" s="22">
        <v>15</v>
      </c>
      <c r="CJ23" s="28">
        <v>0</v>
      </c>
      <c r="CK23" s="23">
        <v>15</v>
      </c>
    </row>
    <row r="24" spans="1:89" ht="15" customHeight="1" outlineLevel="1" x14ac:dyDescent="0.25">
      <c r="A24" s="42" t="s">
        <v>20</v>
      </c>
      <c r="B24" s="28"/>
      <c r="C24" s="27">
        <v>329</v>
      </c>
      <c r="D24" s="28">
        <f t="shared" si="0"/>
        <v>321</v>
      </c>
      <c r="E24" s="28">
        <v>650</v>
      </c>
      <c r="F24" s="28">
        <v>303</v>
      </c>
      <c r="G24" s="28">
        <v>953</v>
      </c>
      <c r="H24" s="28">
        <v>0</v>
      </c>
      <c r="I24" s="29">
        <v>953</v>
      </c>
      <c r="J24" s="6"/>
      <c r="K24" s="27">
        <v>265</v>
      </c>
      <c r="L24" s="28">
        <v>270</v>
      </c>
      <c r="M24" s="28">
        <v>535</v>
      </c>
      <c r="N24" s="28">
        <v>266</v>
      </c>
      <c r="O24" s="28">
        <v>801</v>
      </c>
      <c r="P24" s="28">
        <v>279</v>
      </c>
      <c r="Q24" s="29">
        <v>1080</v>
      </c>
      <c r="R24" s="6"/>
      <c r="S24" s="27">
        <v>291</v>
      </c>
      <c r="T24" s="28">
        <v>306</v>
      </c>
      <c r="U24" s="22">
        <v>597</v>
      </c>
      <c r="V24" s="28">
        <v>288</v>
      </c>
      <c r="W24" s="22">
        <v>885</v>
      </c>
      <c r="X24" s="28">
        <v>257</v>
      </c>
      <c r="Y24" s="23">
        <v>1142</v>
      </c>
      <c r="Z24" s="30"/>
      <c r="AA24" s="27">
        <v>203</v>
      </c>
      <c r="AB24" s="28">
        <v>330</v>
      </c>
      <c r="AC24" s="22">
        <v>533</v>
      </c>
      <c r="AD24" s="28">
        <v>324</v>
      </c>
      <c r="AE24" s="22">
        <v>857</v>
      </c>
      <c r="AF24" s="28">
        <v>309</v>
      </c>
      <c r="AG24" s="23">
        <v>1166</v>
      </c>
      <c r="AH24" s="30"/>
      <c r="AI24" s="27">
        <v>33</v>
      </c>
      <c r="AJ24" s="28">
        <v>14</v>
      </c>
      <c r="AK24" s="22">
        <v>47</v>
      </c>
      <c r="AL24" s="28">
        <v>8</v>
      </c>
      <c r="AM24" s="22">
        <v>55</v>
      </c>
      <c r="AN24" s="28">
        <v>6</v>
      </c>
      <c r="AO24" s="23">
        <v>61</v>
      </c>
      <c r="AP24" s="30"/>
      <c r="AQ24" s="27">
        <v>81</v>
      </c>
      <c r="AR24" s="28">
        <v>65</v>
      </c>
      <c r="AS24" s="22">
        <v>146</v>
      </c>
      <c r="AT24" s="28">
        <v>61</v>
      </c>
      <c r="AU24" s="22">
        <v>207</v>
      </c>
      <c r="AV24" s="28">
        <v>51</v>
      </c>
      <c r="AW24" s="23">
        <v>258</v>
      </c>
      <c r="AX24" s="30"/>
      <c r="AY24" s="27">
        <v>168</v>
      </c>
      <c r="AZ24" s="28">
        <v>132</v>
      </c>
      <c r="BA24" s="22">
        <v>300</v>
      </c>
      <c r="BB24" s="28">
        <v>113</v>
      </c>
      <c r="BC24" s="22">
        <v>413</v>
      </c>
      <c r="BD24" s="28">
        <v>90</v>
      </c>
      <c r="BE24" s="23">
        <v>503</v>
      </c>
      <c r="BF24" s="30"/>
      <c r="BG24" s="27">
        <v>238</v>
      </c>
      <c r="BH24" s="28">
        <v>226</v>
      </c>
      <c r="BI24" s="22">
        <v>464</v>
      </c>
      <c r="BJ24" s="28">
        <v>220</v>
      </c>
      <c r="BK24" s="22">
        <v>684</v>
      </c>
      <c r="BL24" s="28">
        <v>211</v>
      </c>
      <c r="BM24" s="23">
        <v>895</v>
      </c>
      <c r="BN24" s="30"/>
      <c r="BO24" s="27">
        <v>522</v>
      </c>
      <c r="BP24" s="28">
        <v>438</v>
      </c>
      <c r="BQ24" s="22">
        <v>960</v>
      </c>
      <c r="BR24" s="28">
        <v>434</v>
      </c>
      <c r="BS24" s="22">
        <v>1394</v>
      </c>
      <c r="BT24" s="28">
        <v>345</v>
      </c>
      <c r="BU24" s="23">
        <v>1739</v>
      </c>
      <c r="BV24" s="30"/>
      <c r="BW24" s="27">
        <v>558</v>
      </c>
      <c r="BX24" s="28">
        <v>556</v>
      </c>
      <c r="BY24" s="22">
        <v>1114</v>
      </c>
      <c r="BZ24" s="28">
        <v>635</v>
      </c>
      <c r="CA24" s="22">
        <v>1749</v>
      </c>
      <c r="CB24" s="28">
        <v>615</v>
      </c>
      <c r="CC24" s="23">
        <v>2364</v>
      </c>
      <c r="CD24" s="30"/>
      <c r="CE24" s="27">
        <v>0</v>
      </c>
      <c r="CF24" s="28">
        <v>0</v>
      </c>
      <c r="CG24" s="22">
        <v>0</v>
      </c>
      <c r="CH24" s="28">
        <v>184</v>
      </c>
      <c r="CI24" s="22">
        <v>184</v>
      </c>
      <c r="CJ24" s="28">
        <v>523</v>
      </c>
      <c r="CK24" s="23">
        <v>707</v>
      </c>
    </row>
    <row r="25" spans="1:89" ht="17.25" customHeight="1" outlineLevel="1" x14ac:dyDescent="0.4">
      <c r="A25" s="42" t="s">
        <v>21</v>
      </c>
      <c r="B25" s="32"/>
      <c r="C25" s="31">
        <v>0</v>
      </c>
      <c r="D25" s="32">
        <f t="shared" si="0"/>
        <v>0</v>
      </c>
      <c r="E25" s="32">
        <v>0</v>
      </c>
      <c r="F25" s="32">
        <v>0</v>
      </c>
      <c r="G25" s="32">
        <v>0</v>
      </c>
      <c r="H25" s="32">
        <v>0</v>
      </c>
      <c r="I25" s="33">
        <v>0</v>
      </c>
      <c r="J25" s="6"/>
      <c r="K25" s="31">
        <v>-7</v>
      </c>
      <c r="L25" s="32">
        <v>7</v>
      </c>
      <c r="M25" s="32">
        <v>0</v>
      </c>
      <c r="N25" s="32">
        <v>68</v>
      </c>
      <c r="O25" s="32">
        <v>68</v>
      </c>
      <c r="P25" s="32">
        <v>-95</v>
      </c>
      <c r="Q25" s="33">
        <v>-27</v>
      </c>
      <c r="R25" s="6"/>
      <c r="S25" s="31">
        <v>0</v>
      </c>
      <c r="T25" s="32">
        <v>0</v>
      </c>
      <c r="U25" s="32">
        <v>0</v>
      </c>
      <c r="V25" s="32">
        <v>47</v>
      </c>
      <c r="W25" s="32">
        <v>47</v>
      </c>
      <c r="X25" s="32">
        <v>0</v>
      </c>
      <c r="Y25" s="33">
        <v>47</v>
      </c>
      <c r="Z25" s="30"/>
      <c r="AA25" s="31">
        <v>175</v>
      </c>
      <c r="AB25" s="32">
        <v>-258</v>
      </c>
      <c r="AC25" s="32">
        <v>-83</v>
      </c>
      <c r="AD25" s="32">
        <v>32</v>
      </c>
      <c r="AE25" s="32">
        <v>-51</v>
      </c>
      <c r="AF25" s="32">
        <v>-2022</v>
      </c>
      <c r="AG25" s="33">
        <v>-2073</v>
      </c>
      <c r="AH25" s="30"/>
      <c r="AI25" s="31">
        <v>343</v>
      </c>
      <c r="AJ25" s="32">
        <v>286</v>
      </c>
      <c r="AK25" s="32">
        <v>629</v>
      </c>
      <c r="AL25" s="32">
        <v>232</v>
      </c>
      <c r="AM25" s="32">
        <v>861</v>
      </c>
      <c r="AN25" s="32">
        <v>189</v>
      </c>
      <c r="AO25" s="33">
        <v>1050</v>
      </c>
      <c r="AP25" s="30"/>
      <c r="AQ25" s="31">
        <v>434</v>
      </c>
      <c r="AR25" s="32">
        <v>407</v>
      </c>
      <c r="AS25" s="32">
        <v>841</v>
      </c>
      <c r="AT25" s="32">
        <v>714</v>
      </c>
      <c r="AU25" s="32">
        <v>1555</v>
      </c>
      <c r="AV25" s="32">
        <v>342</v>
      </c>
      <c r="AW25" s="33">
        <v>1897</v>
      </c>
      <c r="AX25" s="30"/>
      <c r="AY25" s="31">
        <v>781</v>
      </c>
      <c r="AZ25" s="32">
        <v>1242</v>
      </c>
      <c r="BA25" s="32">
        <v>2023</v>
      </c>
      <c r="BB25" s="32">
        <v>563</v>
      </c>
      <c r="BC25" s="32">
        <v>2586</v>
      </c>
      <c r="BD25" s="32">
        <v>-70</v>
      </c>
      <c r="BE25" s="33">
        <v>2516</v>
      </c>
      <c r="BF25" s="30"/>
      <c r="BG25" s="31">
        <v>346</v>
      </c>
      <c r="BH25" s="32">
        <v>620</v>
      </c>
      <c r="BI25" s="32">
        <v>966</v>
      </c>
      <c r="BJ25" s="32">
        <v>1084</v>
      </c>
      <c r="BK25" s="32">
        <v>2050</v>
      </c>
      <c r="BL25" s="32">
        <v>375</v>
      </c>
      <c r="BM25" s="33">
        <v>2425</v>
      </c>
      <c r="BN25" s="30"/>
      <c r="BO25" s="31">
        <v>0</v>
      </c>
      <c r="BP25" s="32">
        <v>0</v>
      </c>
      <c r="BQ25" s="32">
        <v>0</v>
      </c>
      <c r="BR25" s="32">
        <v>699</v>
      </c>
      <c r="BS25" s="32">
        <v>699</v>
      </c>
      <c r="BT25" s="32">
        <v>204</v>
      </c>
      <c r="BU25" s="33">
        <v>903</v>
      </c>
      <c r="BV25" s="30"/>
      <c r="BW25" s="31">
        <v>-85</v>
      </c>
      <c r="BX25" s="32">
        <v>-86</v>
      </c>
      <c r="BY25" s="32">
        <v>-171</v>
      </c>
      <c r="BZ25" s="32">
        <v>191</v>
      </c>
      <c r="CA25" s="32">
        <v>20</v>
      </c>
      <c r="CB25" s="32">
        <v>-21</v>
      </c>
      <c r="CC25" s="33">
        <v>-1</v>
      </c>
      <c r="CD25" s="30"/>
      <c r="CE25" s="31">
        <v>0</v>
      </c>
      <c r="CF25" s="32">
        <v>0</v>
      </c>
      <c r="CG25" s="32">
        <v>0</v>
      </c>
      <c r="CH25" s="32">
        <v>-9</v>
      </c>
      <c r="CI25" s="32">
        <v>-9</v>
      </c>
      <c r="CJ25" s="32">
        <v>-421</v>
      </c>
      <c r="CK25" s="33">
        <v>-430</v>
      </c>
    </row>
    <row r="26" spans="1:89" s="14" customFormat="1" x14ac:dyDescent="0.25">
      <c r="A26" s="88" t="s">
        <v>24</v>
      </c>
      <c r="B26" s="20"/>
      <c r="C26" s="25">
        <v>-755</v>
      </c>
      <c r="D26" s="20">
        <f t="shared" si="0"/>
        <v>1007</v>
      </c>
      <c r="E26" s="20">
        <v>252</v>
      </c>
      <c r="F26" s="20">
        <v>-1344</v>
      </c>
      <c r="G26" s="20">
        <v>-1092</v>
      </c>
      <c r="H26" s="20">
        <v>0</v>
      </c>
      <c r="I26" s="21">
        <v>-1092</v>
      </c>
      <c r="J26" s="12"/>
      <c r="K26" s="25">
        <v>-8965</v>
      </c>
      <c r="L26" s="20">
        <v>716</v>
      </c>
      <c r="M26" s="20">
        <v>-8249</v>
      </c>
      <c r="N26" s="20">
        <v>835</v>
      </c>
      <c r="O26" s="20">
        <v>-7414</v>
      </c>
      <c r="P26" s="20">
        <v>-2388</v>
      </c>
      <c r="Q26" s="21">
        <v>-9802</v>
      </c>
      <c r="R26" s="12"/>
      <c r="S26" s="25">
        <v>399</v>
      </c>
      <c r="T26" s="20">
        <v>221</v>
      </c>
      <c r="U26" s="20">
        <v>620</v>
      </c>
      <c r="V26" s="20">
        <v>223</v>
      </c>
      <c r="W26" s="20">
        <v>843</v>
      </c>
      <c r="X26" s="20">
        <v>185</v>
      </c>
      <c r="Y26" s="21">
        <v>1028</v>
      </c>
      <c r="Z26" s="26"/>
      <c r="AA26" s="25">
        <v>346</v>
      </c>
      <c r="AB26" s="20">
        <v>-248</v>
      </c>
      <c r="AC26" s="20">
        <v>98</v>
      </c>
      <c r="AD26" s="20">
        <v>201</v>
      </c>
      <c r="AE26" s="20">
        <v>299</v>
      </c>
      <c r="AF26" s="20">
        <v>-9696</v>
      </c>
      <c r="AG26" s="21">
        <v>-9397</v>
      </c>
      <c r="AH26" s="26"/>
      <c r="AI26" s="25">
        <v>506</v>
      </c>
      <c r="AJ26" s="20">
        <v>721</v>
      </c>
      <c r="AK26" s="20">
        <v>1227</v>
      </c>
      <c r="AL26" s="20">
        <v>885</v>
      </c>
      <c r="AM26" s="20">
        <v>2112</v>
      </c>
      <c r="AN26" s="20">
        <v>405</v>
      </c>
      <c r="AO26" s="21">
        <v>2517</v>
      </c>
      <c r="AP26" s="26"/>
      <c r="AQ26" s="25">
        <v>721</v>
      </c>
      <c r="AR26" s="20">
        <v>612</v>
      </c>
      <c r="AS26" s="20">
        <v>1333</v>
      </c>
      <c r="AT26" s="20">
        <v>884</v>
      </c>
      <c r="AU26" s="20">
        <v>2217</v>
      </c>
      <c r="AV26" s="20">
        <v>601</v>
      </c>
      <c r="AW26" s="21">
        <v>2818</v>
      </c>
      <c r="AX26" s="26"/>
      <c r="AY26" s="25">
        <v>1275</v>
      </c>
      <c r="AZ26" s="20">
        <v>2019</v>
      </c>
      <c r="BA26" s="20">
        <v>3294</v>
      </c>
      <c r="BB26" s="20">
        <v>1507</v>
      </c>
      <c r="BC26" s="20">
        <v>4801</v>
      </c>
      <c r="BD26" s="20">
        <v>155</v>
      </c>
      <c r="BE26" s="21">
        <v>4956</v>
      </c>
      <c r="BF26" s="26"/>
      <c r="BG26" s="25">
        <v>554</v>
      </c>
      <c r="BH26" s="20">
        <v>872</v>
      </c>
      <c r="BI26" s="20">
        <v>1426</v>
      </c>
      <c r="BJ26" s="20">
        <v>750</v>
      </c>
      <c r="BK26" s="20">
        <v>2176</v>
      </c>
      <c r="BL26" s="20">
        <v>1807</v>
      </c>
      <c r="BM26" s="21">
        <v>3983</v>
      </c>
      <c r="BN26" s="26"/>
      <c r="BO26" s="25">
        <v>-74</v>
      </c>
      <c r="BP26" s="20">
        <v>652</v>
      </c>
      <c r="BQ26" s="20">
        <v>578</v>
      </c>
      <c r="BR26" s="20">
        <v>563</v>
      </c>
      <c r="BS26" s="20">
        <v>1141</v>
      </c>
      <c r="BT26" s="20">
        <v>384</v>
      </c>
      <c r="BU26" s="21">
        <v>1525</v>
      </c>
      <c r="BV26" s="26"/>
      <c r="BW26" s="25">
        <v>-128</v>
      </c>
      <c r="BX26" s="20">
        <v>-128</v>
      </c>
      <c r="BY26" s="20">
        <v>-256</v>
      </c>
      <c r="BZ26" s="20">
        <v>288</v>
      </c>
      <c r="CA26" s="20">
        <v>32</v>
      </c>
      <c r="CB26" s="20">
        <v>506</v>
      </c>
      <c r="CC26" s="21">
        <v>538</v>
      </c>
      <c r="CD26" s="26"/>
      <c r="CE26" s="25">
        <v>0</v>
      </c>
      <c r="CF26" s="20">
        <v>0</v>
      </c>
      <c r="CG26" s="20">
        <v>0</v>
      </c>
      <c r="CH26" s="20">
        <v>-50</v>
      </c>
      <c r="CI26" s="20">
        <v>-50</v>
      </c>
      <c r="CJ26" s="20">
        <v>-740</v>
      </c>
      <c r="CK26" s="21">
        <v>-790</v>
      </c>
    </row>
    <row r="27" spans="1:89" ht="15" customHeight="1" outlineLevel="1" x14ac:dyDescent="0.25">
      <c r="A27" s="114" t="s">
        <v>54</v>
      </c>
      <c r="B27" s="28"/>
      <c r="C27" s="27"/>
      <c r="D27" s="28"/>
      <c r="E27" s="28"/>
      <c r="F27" s="28"/>
      <c r="G27" s="28"/>
      <c r="H27" s="28"/>
      <c r="I27" s="29"/>
      <c r="J27" s="35"/>
      <c r="K27" s="27"/>
      <c r="L27" s="28"/>
      <c r="M27" s="28"/>
      <c r="N27" s="28"/>
      <c r="O27" s="28"/>
      <c r="P27" s="28"/>
      <c r="Q27" s="29"/>
      <c r="R27" s="35"/>
      <c r="S27" s="27"/>
      <c r="T27" s="28"/>
      <c r="U27" s="36"/>
      <c r="V27" s="28"/>
      <c r="W27" s="22"/>
      <c r="X27" s="28"/>
      <c r="Y27" s="37"/>
      <c r="Z27" s="6"/>
      <c r="AA27" s="27"/>
      <c r="AB27" s="28"/>
      <c r="AC27" s="36"/>
      <c r="AD27" s="28"/>
      <c r="AE27" s="22"/>
      <c r="AF27" s="28"/>
      <c r="AG27" s="37"/>
      <c r="AH27" s="6"/>
      <c r="AI27" s="27"/>
      <c r="AJ27" s="28"/>
      <c r="AK27" s="36"/>
      <c r="AL27" s="28"/>
      <c r="AM27" s="22"/>
      <c r="AN27" s="28"/>
      <c r="AO27" s="37"/>
      <c r="AP27" s="6"/>
      <c r="AQ27" s="27"/>
      <c r="AR27" s="28"/>
      <c r="AS27" s="36"/>
      <c r="AT27" s="28"/>
      <c r="AU27" s="22"/>
      <c r="AV27" s="28"/>
      <c r="AW27" s="37"/>
      <c r="AX27" s="6"/>
      <c r="AY27" s="27"/>
      <c r="AZ27" s="28"/>
      <c r="BA27" s="36"/>
      <c r="BB27" s="28"/>
      <c r="BC27" s="22"/>
      <c r="BD27" s="28"/>
      <c r="BE27" s="37"/>
      <c r="BF27" s="6"/>
      <c r="BG27" s="27"/>
      <c r="BH27" s="28"/>
      <c r="BI27" s="36"/>
      <c r="BJ27" s="28"/>
      <c r="BK27" s="22"/>
      <c r="BL27" s="28"/>
      <c r="BM27" s="37"/>
      <c r="BN27" s="6"/>
      <c r="BO27" s="27"/>
      <c r="BP27" s="28"/>
      <c r="BQ27" s="36"/>
      <c r="BR27" s="28"/>
      <c r="BS27" s="22"/>
      <c r="BT27" s="28"/>
      <c r="BU27" s="37"/>
      <c r="BV27" s="6"/>
      <c r="BW27" s="27"/>
      <c r="BX27" s="28"/>
      <c r="BY27" s="36"/>
      <c r="BZ27" s="28"/>
      <c r="CA27" s="22"/>
      <c r="CB27" s="28"/>
      <c r="CC27" s="37"/>
      <c r="CD27" s="6"/>
      <c r="CE27" s="27"/>
      <c r="CF27" s="28"/>
      <c r="CG27" s="36"/>
      <c r="CH27" s="28"/>
      <c r="CI27" s="22"/>
      <c r="CJ27" s="28"/>
      <c r="CK27" s="37"/>
    </row>
    <row r="28" spans="1:89" ht="15" customHeight="1" outlineLevel="1" x14ac:dyDescent="0.25">
      <c r="A28" s="42" t="s">
        <v>21</v>
      </c>
      <c r="B28" s="28"/>
      <c r="C28" s="27">
        <v>0</v>
      </c>
      <c r="D28" s="28">
        <f t="shared" ref="D28:D43" si="1">E28-C28</f>
        <v>0</v>
      </c>
      <c r="E28" s="28">
        <v>0</v>
      </c>
      <c r="F28" s="28">
        <v>0</v>
      </c>
      <c r="G28" s="28">
        <v>0</v>
      </c>
      <c r="H28" s="28"/>
      <c r="I28" s="29"/>
      <c r="J28" s="6"/>
      <c r="K28" s="27">
        <v>-7</v>
      </c>
      <c r="L28" s="28">
        <v>7</v>
      </c>
      <c r="M28" s="28">
        <v>0</v>
      </c>
      <c r="N28" s="28">
        <v>68</v>
      </c>
      <c r="O28" s="28">
        <v>68</v>
      </c>
      <c r="P28" s="28">
        <v>-95</v>
      </c>
      <c r="Q28" s="29">
        <v>-27</v>
      </c>
      <c r="R28" s="6"/>
      <c r="S28" s="27">
        <v>0</v>
      </c>
      <c r="T28" s="28">
        <v>0</v>
      </c>
      <c r="U28" s="22">
        <v>0</v>
      </c>
      <c r="V28" s="28">
        <v>47</v>
      </c>
      <c r="W28" s="22">
        <v>47</v>
      </c>
      <c r="X28" s="28">
        <v>0</v>
      </c>
      <c r="Y28" s="23">
        <v>47</v>
      </c>
      <c r="Z28" s="30"/>
      <c r="AA28" s="27">
        <v>175</v>
      </c>
      <c r="AB28" s="28">
        <v>-258</v>
      </c>
      <c r="AC28" s="22">
        <v>-83</v>
      </c>
      <c r="AD28" s="28">
        <v>32</v>
      </c>
      <c r="AE28" s="22">
        <v>-51</v>
      </c>
      <c r="AF28" s="28">
        <v>-2022</v>
      </c>
      <c r="AG28" s="23">
        <v>-2073</v>
      </c>
      <c r="AH28" s="30"/>
      <c r="AI28" s="27">
        <v>343</v>
      </c>
      <c r="AJ28" s="28">
        <v>286</v>
      </c>
      <c r="AK28" s="22">
        <v>629</v>
      </c>
      <c r="AL28" s="28">
        <v>232</v>
      </c>
      <c r="AM28" s="22">
        <v>861</v>
      </c>
      <c r="AN28" s="28">
        <v>189</v>
      </c>
      <c r="AO28" s="23">
        <v>1050</v>
      </c>
      <c r="AP28" s="30"/>
      <c r="AQ28" s="27">
        <v>434</v>
      </c>
      <c r="AR28" s="28">
        <v>408</v>
      </c>
      <c r="AS28" s="22">
        <v>842</v>
      </c>
      <c r="AT28" s="28">
        <v>713</v>
      </c>
      <c r="AU28" s="22">
        <v>1555</v>
      </c>
      <c r="AV28" s="28">
        <v>342</v>
      </c>
      <c r="AW28" s="23">
        <v>1897</v>
      </c>
      <c r="AX28" s="30"/>
      <c r="AY28" s="27">
        <v>781</v>
      </c>
      <c r="AZ28" s="28">
        <v>1242</v>
      </c>
      <c r="BA28" s="22">
        <v>2023</v>
      </c>
      <c r="BB28" s="28">
        <v>563</v>
      </c>
      <c r="BC28" s="22">
        <v>2586</v>
      </c>
      <c r="BD28" s="28">
        <v>-70</v>
      </c>
      <c r="BE28" s="23">
        <v>2516</v>
      </c>
      <c r="BF28" s="30"/>
      <c r="BG28" s="27">
        <v>346</v>
      </c>
      <c r="BH28" s="28">
        <v>620</v>
      </c>
      <c r="BI28" s="22">
        <v>966</v>
      </c>
      <c r="BJ28" s="28">
        <v>1084</v>
      </c>
      <c r="BK28" s="22">
        <v>2050</v>
      </c>
      <c r="BL28" s="28">
        <v>375</v>
      </c>
      <c r="BM28" s="23">
        <v>2425</v>
      </c>
      <c r="BN28" s="30"/>
      <c r="BO28" s="27">
        <v>0</v>
      </c>
      <c r="BP28" s="28">
        <v>0</v>
      </c>
      <c r="BQ28" s="22">
        <v>0</v>
      </c>
      <c r="BR28" s="28">
        <v>699</v>
      </c>
      <c r="BS28" s="22">
        <v>699</v>
      </c>
      <c r="BT28" s="28">
        <v>204</v>
      </c>
      <c r="BU28" s="23">
        <v>903</v>
      </c>
      <c r="BV28" s="30"/>
      <c r="BW28" s="27">
        <v>-85</v>
      </c>
      <c r="BX28" s="28">
        <v>-86</v>
      </c>
      <c r="BY28" s="28">
        <v>-171</v>
      </c>
      <c r="BZ28" s="28">
        <v>191</v>
      </c>
      <c r="CA28" s="28">
        <v>20</v>
      </c>
      <c r="CB28" s="28">
        <v>-21</v>
      </c>
      <c r="CC28" s="23">
        <v>-1</v>
      </c>
      <c r="CD28" s="30"/>
      <c r="CE28" s="27">
        <v>0</v>
      </c>
      <c r="CF28" s="28">
        <v>0</v>
      </c>
      <c r="CG28" s="22">
        <v>0</v>
      </c>
      <c r="CH28" s="28">
        <v>-9</v>
      </c>
      <c r="CI28" s="22">
        <v>-9</v>
      </c>
      <c r="CJ28" s="28">
        <v>-421</v>
      </c>
      <c r="CK28" s="23">
        <v>-430</v>
      </c>
    </row>
    <row r="29" spans="1:89" ht="15" customHeight="1" outlineLevel="1" x14ac:dyDescent="0.25">
      <c r="A29" s="42" t="s">
        <v>19</v>
      </c>
      <c r="B29" s="28"/>
      <c r="C29" s="27">
        <v>0</v>
      </c>
      <c r="D29" s="28">
        <f t="shared" si="1"/>
        <v>0</v>
      </c>
      <c r="E29" s="28">
        <v>0</v>
      </c>
      <c r="F29" s="28">
        <v>0</v>
      </c>
      <c r="G29" s="28">
        <v>0</v>
      </c>
      <c r="H29" s="28"/>
      <c r="I29" s="29"/>
      <c r="J29" s="6"/>
      <c r="K29" s="27">
        <v>0</v>
      </c>
      <c r="L29" s="28">
        <v>0</v>
      </c>
      <c r="M29" s="28">
        <v>0</v>
      </c>
      <c r="N29" s="28">
        <v>0</v>
      </c>
      <c r="O29" s="28">
        <v>0</v>
      </c>
      <c r="P29" s="28">
        <v>0</v>
      </c>
      <c r="Q29" s="29">
        <v>0</v>
      </c>
      <c r="R29" s="6"/>
      <c r="S29" s="27">
        <v>0</v>
      </c>
      <c r="T29" s="28">
        <v>0</v>
      </c>
      <c r="U29" s="22">
        <v>0</v>
      </c>
      <c r="V29" s="28">
        <v>1</v>
      </c>
      <c r="W29" s="22">
        <v>1</v>
      </c>
      <c r="X29" s="28">
        <v>0</v>
      </c>
      <c r="Y29" s="23">
        <v>1</v>
      </c>
      <c r="Z29" s="30"/>
      <c r="AA29" s="27">
        <v>0</v>
      </c>
      <c r="AB29" s="28">
        <v>0</v>
      </c>
      <c r="AC29" s="22">
        <v>0</v>
      </c>
      <c r="AD29" s="28">
        <v>0</v>
      </c>
      <c r="AE29" s="22">
        <v>0</v>
      </c>
      <c r="AF29" s="28">
        <v>1</v>
      </c>
      <c r="AG29" s="23">
        <v>1</v>
      </c>
      <c r="AH29" s="30"/>
      <c r="AI29" s="27">
        <v>0</v>
      </c>
      <c r="AJ29" s="28">
        <v>0</v>
      </c>
      <c r="AK29" s="22">
        <v>0</v>
      </c>
      <c r="AL29" s="28">
        <v>0</v>
      </c>
      <c r="AM29" s="22">
        <v>0</v>
      </c>
      <c r="AN29" s="28">
        <v>0</v>
      </c>
      <c r="AO29" s="23">
        <v>0</v>
      </c>
      <c r="AP29" s="30"/>
      <c r="AQ29" s="27">
        <v>0</v>
      </c>
      <c r="AR29" s="28">
        <v>0</v>
      </c>
      <c r="AS29" s="22">
        <v>0</v>
      </c>
      <c r="AT29" s="28">
        <v>0</v>
      </c>
      <c r="AU29" s="22">
        <v>0</v>
      </c>
      <c r="AV29" s="28">
        <v>0</v>
      </c>
      <c r="AW29" s="23">
        <v>0</v>
      </c>
      <c r="AX29" s="30"/>
      <c r="AY29" s="27">
        <v>0</v>
      </c>
      <c r="AZ29" s="28">
        <v>0</v>
      </c>
      <c r="BA29" s="22">
        <v>0</v>
      </c>
      <c r="BB29" s="28">
        <v>1</v>
      </c>
      <c r="BC29" s="22">
        <v>1</v>
      </c>
      <c r="BD29" s="28">
        <v>-1</v>
      </c>
      <c r="BE29" s="23">
        <v>0</v>
      </c>
      <c r="BF29" s="30"/>
      <c r="BG29" s="27">
        <v>0</v>
      </c>
      <c r="BH29" s="28">
        <v>0</v>
      </c>
      <c r="BI29" s="22">
        <v>0</v>
      </c>
      <c r="BJ29" s="28">
        <v>1</v>
      </c>
      <c r="BK29" s="22">
        <v>1</v>
      </c>
      <c r="BL29" s="28">
        <v>-1</v>
      </c>
      <c r="BM29" s="23">
        <v>0</v>
      </c>
      <c r="BN29" s="30"/>
      <c r="BO29" s="27">
        <v>0</v>
      </c>
      <c r="BP29" s="28">
        <v>0</v>
      </c>
      <c r="BQ29" s="22">
        <v>0</v>
      </c>
      <c r="BR29" s="28">
        <v>1</v>
      </c>
      <c r="BS29" s="22">
        <v>1</v>
      </c>
      <c r="BT29" s="28">
        <v>-1</v>
      </c>
      <c r="BU29" s="23">
        <v>0</v>
      </c>
      <c r="BV29" s="30"/>
      <c r="BW29" s="27">
        <v>12</v>
      </c>
      <c r="BX29" s="28">
        <v>0</v>
      </c>
      <c r="BY29" s="28">
        <v>12</v>
      </c>
      <c r="BZ29" s="28">
        <v>-12</v>
      </c>
      <c r="CA29" s="28">
        <v>0</v>
      </c>
      <c r="CB29" s="28">
        <v>0</v>
      </c>
      <c r="CC29" s="23">
        <v>0</v>
      </c>
      <c r="CD29" s="30"/>
      <c r="CE29" s="27">
        <v>0</v>
      </c>
      <c r="CF29" s="28">
        <v>0</v>
      </c>
      <c r="CG29" s="22">
        <v>0</v>
      </c>
      <c r="CH29" s="28">
        <v>15</v>
      </c>
      <c r="CI29" s="22">
        <v>15</v>
      </c>
      <c r="CJ29" s="28">
        <v>0</v>
      </c>
      <c r="CK29" s="23">
        <v>15</v>
      </c>
    </row>
    <row r="30" spans="1:89" ht="15" customHeight="1" outlineLevel="1" x14ac:dyDescent="0.25">
      <c r="A30" s="42" t="s">
        <v>20</v>
      </c>
      <c r="B30" s="28"/>
      <c r="C30" s="27">
        <v>329</v>
      </c>
      <c r="D30" s="28">
        <f t="shared" si="1"/>
        <v>321</v>
      </c>
      <c r="E30" s="28">
        <v>650</v>
      </c>
      <c r="F30" s="28">
        <v>0</v>
      </c>
      <c r="G30" s="28">
        <v>0</v>
      </c>
      <c r="H30" s="28"/>
      <c r="I30" s="29"/>
      <c r="J30" s="6"/>
      <c r="K30" s="27">
        <v>265</v>
      </c>
      <c r="L30" s="28">
        <v>270</v>
      </c>
      <c r="M30" s="28">
        <v>535</v>
      </c>
      <c r="N30" s="28">
        <v>266</v>
      </c>
      <c r="O30" s="28">
        <v>801</v>
      </c>
      <c r="P30" s="28">
        <v>279</v>
      </c>
      <c r="Q30" s="29">
        <v>1080</v>
      </c>
      <c r="R30" s="6"/>
      <c r="S30" s="27">
        <v>291</v>
      </c>
      <c r="T30" s="28">
        <v>306</v>
      </c>
      <c r="U30" s="22">
        <v>597</v>
      </c>
      <c r="V30" s="28">
        <v>288</v>
      </c>
      <c r="W30" s="22">
        <v>885</v>
      </c>
      <c r="X30" s="28">
        <v>257</v>
      </c>
      <c r="Y30" s="23">
        <v>1142</v>
      </c>
      <c r="Z30" s="30"/>
      <c r="AA30" s="27">
        <v>203</v>
      </c>
      <c r="AB30" s="28">
        <v>330</v>
      </c>
      <c r="AC30" s="22">
        <v>533</v>
      </c>
      <c r="AD30" s="28">
        <v>324</v>
      </c>
      <c r="AE30" s="22">
        <v>857</v>
      </c>
      <c r="AF30" s="28">
        <v>309</v>
      </c>
      <c r="AG30" s="23">
        <v>1166</v>
      </c>
      <c r="AH30" s="30"/>
      <c r="AI30" s="27">
        <v>33</v>
      </c>
      <c r="AJ30" s="28">
        <v>14</v>
      </c>
      <c r="AK30" s="22">
        <v>47</v>
      </c>
      <c r="AL30" s="28">
        <v>8</v>
      </c>
      <c r="AM30" s="22">
        <v>55</v>
      </c>
      <c r="AN30" s="28">
        <v>6</v>
      </c>
      <c r="AO30" s="23">
        <v>61</v>
      </c>
      <c r="AP30" s="30"/>
      <c r="AQ30" s="27">
        <v>81</v>
      </c>
      <c r="AR30" s="28">
        <v>65</v>
      </c>
      <c r="AS30" s="22">
        <v>146</v>
      </c>
      <c r="AT30" s="28">
        <v>61</v>
      </c>
      <c r="AU30" s="22">
        <v>207</v>
      </c>
      <c r="AV30" s="28">
        <v>93</v>
      </c>
      <c r="AW30" s="23">
        <v>300</v>
      </c>
      <c r="AX30" s="30"/>
      <c r="AY30" s="27">
        <v>168</v>
      </c>
      <c r="AZ30" s="28">
        <v>132</v>
      </c>
      <c r="BA30" s="22">
        <v>300</v>
      </c>
      <c r="BB30" s="28">
        <v>113</v>
      </c>
      <c r="BC30" s="22">
        <v>413</v>
      </c>
      <c r="BD30" s="28">
        <v>90</v>
      </c>
      <c r="BE30" s="23">
        <v>503</v>
      </c>
      <c r="BF30" s="30"/>
      <c r="BG30" s="27">
        <v>238</v>
      </c>
      <c r="BH30" s="28">
        <v>226</v>
      </c>
      <c r="BI30" s="22">
        <v>464</v>
      </c>
      <c r="BJ30" s="28">
        <v>220</v>
      </c>
      <c r="BK30" s="22">
        <v>684</v>
      </c>
      <c r="BL30" s="28">
        <v>211</v>
      </c>
      <c r="BM30" s="23">
        <v>895</v>
      </c>
      <c r="BN30" s="30"/>
      <c r="BO30" s="27">
        <v>522</v>
      </c>
      <c r="BP30" s="28">
        <v>438</v>
      </c>
      <c r="BQ30" s="22">
        <v>960</v>
      </c>
      <c r="BR30" s="28">
        <v>434</v>
      </c>
      <c r="BS30" s="22">
        <v>1394</v>
      </c>
      <c r="BT30" s="28">
        <v>345</v>
      </c>
      <c r="BU30" s="23">
        <v>1739</v>
      </c>
      <c r="BV30" s="30"/>
      <c r="BW30" s="27">
        <v>558</v>
      </c>
      <c r="BX30" s="28">
        <v>556</v>
      </c>
      <c r="BY30" s="28">
        <v>1114</v>
      </c>
      <c r="BZ30" s="28">
        <v>635</v>
      </c>
      <c r="CA30" s="28">
        <v>1749</v>
      </c>
      <c r="CB30" s="28">
        <v>615</v>
      </c>
      <c r="CC30" s="23">
        <v>2364</v>
      </c>
      <c r="CD30" s="30"/>
      <c r="CE30" s="27">
        <v>0</v>
      </c>
      <c r="CF30" s="28">
        <v>0</v>
      </c>
      <c r="CG30" s="22">
        <v>0</v>
      </c>
      <c r="CH30" s="28">
        <v>184</v>
      </c>
      <c r="CI30" s="22">
        <v>184</v>
      </c>
      <c r="CJ30" s="28">
        <v>523</v>
      </c>
      <c r="CK30" s="23">
        <v>707</v>
      </c>
    </row>
    <row r="31" spans="1:89" ht="15" customHeight="1" outlineLevel="1" x14ac:dyDescent="0.25">
      <c r="A31" s="42" t="s">
        <v>55</v>
      </c>
      <c r="B31" s="28"/>
      <c r="C31" s="27">
        <v>619</v>
      </c>
      <c r="D31" s="28">
        <f t="shared" si="1"/>
        <v>616</v>
      </c>
      <c r="E31" s="28">
        <v>1235</v>
      </c>
      <c r="F31" s="28">
        <v>0</v>
      </c>
      <c r="G31" s="28">
        <v>0</v>
      </c>
      <c r="H31" s="28"/>
      <c r="I31" s="29"/>
      <c r="J31" s="6"/>
      <c r="K31" s="27">
        <v>619</v>
      </c>
      <c r="L31" s="28">
        <v>575</v>
      </c>
      <c r="M31" s="28">
        <v>1194</v>
      </c>
      <c r="N31" s="28">
        <v>641</v>
      </c>
      <c r="O31" s="28">
        <v>1835</v>
      </c>
      <c r="P31" s="28">
        <v>617</v>
      </c>
      <c r="Q31" s="29">
        <v>2452</v>
      </c>
      <c r="R31" s="6"/>
      <c r="S31" s="27">
        <v>650</v>
      </c>
      <c r="T31" s="28">
        <v>620</v>
      </c>
      <c r="U31" s="36">
        <v>1270</v>
      </c>
      <c r="V31" s="28">
        <v>604</v>
      </c>
      <c r="W31" s="22">
        <v>1874</v>
      </c>
      <c r="X31" s="28">
        <v>629</v>
      </c>
      <c r="Y31" s="37">
        <v>2503</v>
      </c>
      <c r="Z31" s="30"/>
      <c r="AA31" s="27">
        <v>568</v>
      </c>
      <c r="AB31" s="28">
        <v>556</v>
      </c>
      <c r="AC31" s="36">
        <v>1124</v>
      </c>
      <c r="AD31" s="28">
        <v>543</v>
      </c>
      <c r="AE31" s="22">
        <v>1667</v>
      </c>
      <c r="AF31" s="28">
        <v>511</v>
      </c>
      <c r="AG31" s="37">
        <v>2178</v>
      </c>
      <c r="AH31" s="30"/>
      <c r="AI31" s="27">
        <v>564</v>
      </c>
      <c r="AJ31" s="28">
        <v>573</v>
      </c>
      <c r="AK31" s="36">
        <v>1137</v>
      </c>
      <c r="AL31" s="28">
        <v>615</v>
      </c>
      <c r="AM31" s="22">
        <v>1752</v>
      </c>
      <c r="AN31" s="28">
        <v>578</v>
      </c>
      <c r="AO31" s="37">
        <v>2330</v>
      </c>
      <c r="AP31" s="30"/>
      <c r="AQ31" s="27">
        <v>586</v>
      </c>
      <c r="AR31" s="28">
        <v>593</v>
      </c>
      <c r="AS31" s="36">
        <v>1179</v>
      </c>
      <c r="AT31" s="28">
        <v>606</v>
      </c>
      <c r="AU31" s="22">
        <v>1785</v>
      </c>
      <c r="AV31" s="28">
        <v>591</v>
      </c>
      <c r="AW31" s="37">
        <v>2376</v>
      </c>
      <c r="AX31" s="30"/>
      <c r="AY31" s="27">
        <v>608</v>
      </c>
      <c r="AZ31" s="28">
        <v>620</v>
      </c>
      <c r="BA31" s="36">
        <v>1228</v>
      </c>
      <c r="BB31" s="28">
        <v>616</v>
      </c>
      <c r="BC31" s="22">
        <v>1844</v>
      </c>
      <c r="BD31" s="28">
        <v>1047</v>
      </c>
      <c r="BE31" s="37">
        <v>2891</v>
      </c>
      <c r="BF31" s="30"/>
      <c r="BG31" s="27">
        <v>667</v>
      </c>
      <c r="BH31" s="28">
        <v>690</v>
      </c>
      <c r="BI31" s="36">
        <v>1357</v>
      </c>
      <c r="BJ31" s="28">
        <v>654</v>
      </c>
      <c r="BK31" s="22">
        <v>2011</v>
      </c>
      <c r="BL31" s="28">
        <v>612</v>
      </c>
      <c r="BM31" s="37">
        <v>2623</v>
      </c>
      <c r="BN31" s="30"/>
      <c r="BO31" s="27">
        <v>672</v>
      </c>
      <c r="BP31" s="28">
        <v>681</v>
      </c>
      <c r="BQ31" s="36">
        <v>1353</v>
      </c>
      <c r="BR31" s="28">
        <v>684</v>
      </c>
      <c r="BS31" s="22">
        <v>2037</v>
      </c>
      <c r="BT31" s="28">
        <v>703</v>
      </c>
      <c r="BU31" s="37">
        <v>2740</v>
      </c>
      <c r="BV31" s="30"/>
      <c r="BW31" s="27">
        <v>498</v>
      </c>
      <c r="BX31" s="28">
        <v>450</v>
      </c>
      <c r="BY31" s="28">
        <v>948</v>
      </c>
      <c r="BZ31" s="28">
        <v>550</v>
      </c>
      <c r="CA31" s="28">
        <v>1498</v>
      </c>
      <c r="CB31" s="28">
        <v>840</v>
      </c>
      <c r="CC31" s="37">
        <v>2338</v>
      </c>
      <c r="CD31" s="30"/>
      <c r="CE31" s="27">
        <v>0</v>
      </c>
      <c r="CF31" s="28">
        <v>0</v>
      </c>
      <c r="CG31" s="36">
        <v>0</v>
      </c>
      <c r="CH31" s="28">
        <v>171</v>
      </c>
      <c r="CI31" s="22">
        <v>171</v>
      </c>
      <c r="CJ31" s="28">
        <v>592</v>
      </c>
      <c r="CK31" s="37">
        <v>763</v>
      </c>
    </row>
    <row r="32" spans="1:89" s="163" customFormat="1" ht="15" customHeight="1" outlineLevel="1" x14ac:dyDescent="0.25">
      <c r="A32" s="77" t="s">
        <v>56</v>
      </c>
      <c r="B32" s="161"/>
      <c r="C32" s="160">
        <v>13</v>
      </c>
      <c r="D32" s="161">
        <f t="shared" si="1"/>
        <v>13</v>
      </c>
      <c r="E32" s="161">
        <v>26</v>
      </c>
      <c r="F32" s="161">
        <v>0</v>
      </c>
      <c r="G32" s="161">
        <v>0</v>
      </c>
      <c r="H32" s="161"/>
      <c r="I32" s="162"/>
      <c r="J32" s="35"/>
      <c r="K32" s="160">
        <v>14</v>
      </c>
      <c r="L32" s="161">
        <v>14</v>
      </c>
      <c r="M32" s="161">
        <v>28</v>
      </c>
      <c r="N32" s="161">
        <v>13</v>
      </c>
      <c r="O32" s="161">
        <v>41</v>
      </c>
      <c r="P32" s="161">
        <v>13</v>
      </c>
      <c r="Q32" s="162">
        <v>54</v>
      </c>
      <c r="R32" s="35"/>
      <c r="S32" s="160">
        <v>15</v>
      </c>
      <c r="T32" s="161">
        <v>15</v>
      </c>
      <c r="U32" s="192">
        <v>30</v>
      </c>
      <c r="V32" s="161">
        <v>14</v>
      </c>
      <c r="W32" s="161">
        <v>44</v>
      </c>
      <c r="X32" s="161">
        <v>14</v>
      </c>
      <c r="Y32" s="193">
        <v>58</v>
      </c>
      <c r="Z32" s="164"/>
      <c r="AA32" s="160">
        <v>14</v>
      </c>
      <c r="AB32" s="161">
        <v>17</v>
      </c>
      <c r="AC32" s="192">
        <v>31</v>
      </c>
      <c r="AD32" s="161">
        <v>16</v>
      </c>
      <c r="AE32" s="161">
        <v>47</v>
      </c>
      <c r="AF32" s="161">
        <v>16</v>
      </c>
      <c r="AG32" s="193">
        <v>63</v>
      </c>
      <c r="AH32" s="164"/>
      <c r="AI32" s="160">
        <v>11</v>
      </c>
      <c r="AJ32" s="161">
        <v>10</v>
      </c>
      <c r="AK32" s="192">
        <v>21</v>
      </c>
      <c r="AL32" s="161">
        <v>4</v>
      </c>
      <c r="AM32" s="161">
        <v>25</v>
      </c>
      <c r="AN32" s="161">
        <v>0</v>
      </c>
      <c r="AO32" s="193">
        <v>25</v>
      </c>
      <c r="AP32" s="164"/>
      <c r="AQ32" s="160">
        <v>7</v>
      </c>
      <c r="AR32" s="161">
        <v>14</v>
      </c>
      <c r="AS32" s="192">
        <v>21</v>
      </c>
      <c r="AT32" s="161">
        <v>11</v>
      </c>
      <c r="AU32" s="161">
        <v>32</v>
      </c>
      <c r="AV32" s="161">
        <v>10</v>
      </c>
      <c r="AW32" s="193">
        <v>42</v>
      </c>
      <c r="AX32" s="164"/>
      <c r="AY32" s="160">
        <v>11</v>
      </c>
      <c r="AZ32" s="161">
        <v>10</v>
      </c>
      <c r="BA32" s="192">
        <v>21</v>
      </c>
      <c r="BB32" s="161">
        <v>11</v>
      </c>
      <c r="BC32" s="161">
        <v>32</v>
      </c>
      <c r="BD32" s="161">
        <v>10</v>
      </c>
      <c r="BE32" s="193">
        <v>42</v>
      </c>
      <c r="BF32" s="164"/>
      <c r="BG32" s="160">
        <v>7</v>
      </c>
      <c r="BH32" s="161">
        <v>6</v>
      </c>
      <c r="BI32" s="192">
        <v>13</v>
      </c>
      <c r="BJ32" s="161">
        <v>8</v>
      </c>
      <c r="BK32" s="161">
        <v>21</v>
      </c>
      <c r="BL32" s="161">
        <v>11</v>
      </c>
      <c r="BM32" s="193">
        <v>32</v>
      </c>
      <c r="BN32" s="164"/>
      <c r="BO32" s="160">
        <v>0</v>
      </c>
      <c r="BP32" s="161">
        <v>0</v>
      </c>
      <c r="BQ32" s="192">
        <v>0</v>
      </c>
      <c r="BR32" s="161">
        <v>55</v>
      </c>
      <c r="BS32" s="161">
        <v>55</v>
      </c>
      <c r="BT32" s="161">
        <v>7</v>
      </c>
      <c r="BU32" s="193">
        <v>62</v>
      </c>
      <c r="BV32" s="164"/>
      <c r="BW32" s="160">
        <v>0</v>
      </c>
      <c r="BX32" s="161">
        <v>0</v>
      </c>
      <c r="BY32" s="192">
        <v>0</v>
      </c>
      <c r="BZ32" s="161">
        <v>17</v>
      </c>
      <c r="CA32" s="161">
        <v>17</v>
      </c>
      <c r="CB32" s="161">
        <v>11</v>
      </c>
      <c r="CC32" s="193">
        <v>28</v>
      </c>
      <c r="CD32" s="164"/>
      <c r="CE32" s="160">
        <v>0</v>
      </c>
      <c r="CF32" s="161">
        <v>0</v>
      </c>
      <c r="CG32" s="192">
        <v>0</v>
      </c>
      <c r="CH32" s="161">
        <v>0</v>
      </c>
      <c r="CI32" s="161">
        <v>0</v>
      </c>
      <c r="CJ32" s="161">
        <v>0</v>
      </c>
      <c r="CK32" s="193">
        <v>0</v>
      </c>
    </row>
    <row r="33" spans="1:89" s="14" customFormat="1" x14ac:dyDescent="0.25">
      <c r="A33" s="88" t="s">
        <v>57</v>
      </c>
      <c r="B33" s="20"/>
      <c r="C33" s="25">
        <v>206</v>
      </c>
      <c r="D33" s="20">
        <f t="shared" si="1"/>
        <v>1957</v>
      </c>
      <c r="E33" s="20">
        <v>2163</v>
      </c>
      <c r="F33" s="20">
        <v>0</v>
      </c>
      <c r="G33" s="20">
        <v>0</v>
      </c>
      <c r="H33" s="20"/>
      <c r="I33" s="21"/>
      <c r="J33" s="12"/>
      <c r="K33" s="25">
        <v>-8074</v>
      </c>
      <c r="L33" s="20">
        <v>1582</v>
      </c>
      <c r="M33" s="20">
        <v>-6492</v>
      </c>
      <c r="N33" s="20">
        <v>1823</v>
      </c>
      <c r="O33" s="20">
        <v>-4669</v>
      </c>
      <c r="P33" s="20">
        <v>-1574</v>
      </c>
      <c r="Q33" s="21">
        <v>-6243</v>
      </c>
      <c r="R33" s="12"/>
      <c r="S33" s="25">
        <v>1355</v>
      </c>
      <c r="T33" s="20">
        <v>1162</v>
      </c>
      <c r="U33" s="20">
        <v>2517</v>
      </c>
      <c r="V33" s="20">
        <v>1177</v>
      </c>
      <c r="W33" s="20">
        <v>3694</v>
      </c>
      <c r="X33" s="20">
        <v>1085</v>
      </c>
      <c r="Y33" s="21">
        <v>4779</v>
      </c>
      <c r="Z33" s="26"/>
      <c r="AA33" s="25">
        <v>1306</v>
      </c>
      <c r="AB33" s="20">
        <v>397</v>
      </c>
      <c r="AC33" s="20">
        <v>1703</v>
      </c>
      <c r="AD33" s="20">
        <v>1116</v>
      </c>
      <c r="AE33" s="20">
        <v>2819</v>
      </c>
      <c r="AF33" s="20">
        <v>-10881</v>
      </c>
      <c r="AG33" s="21">
        <v>-8062</v>
      </c>
      <c r="AH33" s="26"/>
      <c r="AI33" s="25">
        <v>1457</v>
      </c>
      <c r="AJ33" s="20">
        <v>1604</v>
      </c>
      <c r="AK33" s="20">
        <v>3061</v>
      </c>
      <c r="AL33" s="20">
        <v>1744</v>
      </c>
      <c r="AM33" s="20">
        <v>4805</v>
      </c>
      <c r="AN33" s="20">
        <v>1178</v>
      </c>
      <c r="AO33" s="21">
        <v>5983</v>
      </c>
      <c r="AP33" s="26"/>
      <c r="AQ33" s="25">
        <v>1829</v>
      </c>
      <c r="AR33" s="20">
        <v>1692</v>
      </c>
      <c r="AS33" s="20">
        <v>3521</v>
      </c>
      <c r="AT33" s="20">
        <v>2275</v>
      </c>
      <c r="AU33" s="20">
        <v>5796</v>
      </c>
      <c r="AV33" s="20">
        <v>1637</v>
      </c>
      <c r="AW33" s="21">
        <v>7433</v>
      </c>
      <c r="AX33" s="26"/>
      <c r="AY33" s="25">
        <v>2843</v>
      </c>
      <c r="AZ33" s="20">
        <v>4023</v>
      </c>
      <c r="BA33" s="20">
        <v>6866</v>
      </c>
      <c r="BB33" s="20">
        <v>2811</v>
      </c>
      <c r="BC33" s="20">
        <v>9677</v>
      </c>
      <c r="BD33" s="20">
        <v>1231</v>
      </c>
      <c r="BE33" s="21">
        <v>10908</v>
      </c>
      <c r="BF33" s="26"/>
      <c r="BG33" s="25">
        <v>1812</v>
      </c>
      <c r="BH33" s="20">
        <v>2414</v>
      </c>
      <c r="BI33" s="20">
        <v>4226</v>
      </c>
      <c r="BJ33" s="20">
        <v>2717</v>
      </c>
      <c r="BK33" s="20">
        <v>6943</v>
      </c>
      <c r="BL33" s="20">
        <v>3015</v>
      </c>
      <c r="BM33" s="21">
        <v>9958</v>
      </c>
      <c r="BN33" s="26"/>
      <c r="BO33" s="25">
        <v>1120</v>
      </c>
      <c r="BP33" s="20">
        <v>1771</v>
      </c>
      <c r="BQ33" s="20">
        <v>2891</v>
      </c>
      <c r="BR33" s="20">
        <v>2436</v>
      </c>
      <c r="BS33" s="20">
        <v>5327</v>
      </c>
      <c r="BT33" s="20">
        <v>1642</v>
      </c>
      <c r="BU33" s="21">
        <v>6969</v>
      </c>
      <c r="BV33" s="26"/>
      <c r="BW33" s="25">
        <v>855</v>
      </c>
      <c r="BX33" s="20">
        <v>792</v>
      </c>
      <c r="BY33" s="20">
        <v>1647</v>
      </c>
      <c r="BZ33" s="20">
        <v>1669</v>
      </c>
      <c r="CA33" s="20">
        <v>3316</v>
      </c>
      <c r="CB33" s="20">
        <v>1951</v>
      </c>
      <c r="CC33" s="21">
        <v>5267</v>
      </c>
      <c r="CD33" s="26"/>
      <c r="CE33" s="25">
        <v>0</v>
      </c>
      <c r="CF33" s="20">
        <v>0</v>
      </c>
      <c r="CG33" s="20">
        <v>0</v>
      </c>
      <c r="CH33" s="20">
        <v>311</v>
      </c>
      <c r="CI33" s="20">
        <v>311</v>
      </c>
      <c r="CJ33" s="20">
        <v>-46</v>
      </c>
      <c r="CK33" s="21">
        <v>265</v>
      </c>
    </row>
    <row r="34" spans="1:89" ht="15" customHeight="1" outlineLevel="1" x14ac:dyDescent="0.25">
      <c r="A34" s="42" t="s">
        <v>58</v>
      </c>
      <c r="B34" s="28"/>
      <c r="C34" s="27">
        <v>-164</v>
      </c>
      <c r="D34" s="28">
        <f t="shared" si="1"/>
        <v>0</v>
      </c>
      <c r="E34" s="28">
        <v>-164</v>
      </c>
      <c r="F34" s="28">
        <v>0</v>
      </c>
      <c r="G34" s="28">
        <v>0</v>
      </c>
      <c r="H34" s="28"/>
      <c r="I34" s="29"/>
      <c r="J34" s="6"/>
      <c r="K34" s="27">
        <v>3</v>
      </c>
      <c r="L34" s="28">
        <v>-2</v>
      </c>
      <c r="M34" s="28">
        <v>1</v>
      </c>
      <c r="N34" s="28">
        <v>19</v>
      </c>
      <c r="O34" s="28">
        <v>20</v>
      </c>
      <c r="P34" s="28">
        <v>0</v>
      </c>
      <c r="Q34" s="29">
        <v>20</v>
      </c>
      <c r="R34" s="6"/>
      <c r="S34" s="27">
        <v>-2</v>
      </c>
      <c r="T34" s="28">
        <v>-1</v>
      </c>
      <c r="U34" s="36">
        <v>-3</v>
      </c>
      <c r="V34" s="28">
        <v>1</v>
      </c>
      <c r="W34" s="22">
        <v>-2</v>
      </c>
      <c r="X34" s="28">
        <v>28</v>
      </c>
      <c r="Y34" s="37">
        <v>26</v>
      </c>
      <c r="Z34" s="30"/>
      <c r="AA34" s="27">
        <v>17</v>
      </c>
      <c r="AB34" s="28">
        <v>-3</v>
      </c>
      <c r="AC34" s="36">
        <v>14</v>
      </c>
      <c r="AD34" s="28">
        <v>2</v>
      </c>
      <c r="AE34" s="22">
        <v>16</v>
      </c>
      <c r="AF34" s="28">
        <v>27</v>
      </c>
      <c r="AG34" s="37">
        <v>43</v>
      </c>
      <c r="AH34" s="30"/>
      <c r="AI34" s="27">
        <v>0</v>
      </c>
      <c r="AJ34" s="28">
        <v>30</v>
      </c>
      <c r="AK34" s="36">
        <v>30</v>
      </c>
      <c r="AL34" s="28">
        <v>-30</v>
      </c>
      <c r="AM34" s="22">
        <v>0</v>
      </c>
      <c r="AN34" s="28">
        <v>15</v>
      </c>
      <c r="AO34" s="37">
        <v>15</v>
      </c>
      <c r="AP34" s="30"/>
      <c r="AQ34" s="27">
        <v>0</v>
      </c>
      <c r="AR34" s="28">
        <v>0</v>
      </c>
      <c r="AS34" s="36">
        <v>0</v>
      </c>
      <c r="AT34" s="28">
        <v>0</v>
      </c>
      <c r="AU34" s="22">
        <v>0</v>
      </c>
      <c r="AV34" s="28">
        <v>0</v>
      </c>
      <c r="AW34" s="37">
        <v>0</v>
      </c>
      <c r="AX34" s="30"/>
      <c r="AY34" s="27">
        <v>0</v>
      </c>
      <c r="AZ34" s="28">
        <v>0</v>
      </c>
      <c r="BA34" s="36">
        <v>0</v>
      </c>
      <c r="BB34" s="28">
        <v>0</v>
      </c>
      <c r="BC34" s="22">
        <v>0</v>
      </c>
      <c r="BD34" s="28">
        <v>0</v>
      </c>
      <c r="BE34" s="37">
        <v>0</v>
      </c>
      <c r="BF34" s="30"/>
      <c r="BG34" s="27">
        <v>0</v>
      </c>
      <c r="BH34" s="28">
        <v>0</v>
      </c>
      <c r="BI34" s="36">
        <v>0</v>
      </c>
      <c r="BJ34" s="28">
        <v>0</v>
      </c>
      <c r="BK34" s="22">
        <v>0</v>
      </c>
      <c r="BL34" s="28">
        <v>0</v>
      </c>
      <c r="BM34" s="37">
        <v>0</v>
      </c>
      <c r="BN34" s="30"/>
      <c r="BO34" s="27">
        <v>0</v>
      </c>
      <c r="BP34" s="28">
        <v>0</v>
      </c>
      <c r="BQ34" s="36">
        <v>0</v>
      </c>
      <c r="BR34" s="28">
        <v>0</v>
      </c>
      <c r="BS34" s="22">
        <v>0</v>
      </c>
      <c r="BT34" s="28">
        <v>0</v>
      </c>
      <c r="BU34" s="37">
        <v>0</v>
      </c>
      <c r="BV34" s="30"/>
      <c r="BW34" s="27">
        <v>0</v>
      </c>
      <c r="BX34" s="28">
        <v>0</v>
      </c>
      <c r="BY34" s="36">
        <v>0</v>
      </c>
      <c r="BZ34" s="28">
        <v>0</v>
      </c>
      <c r="CA34" s="22">
        <v>0</v>
      </c>
      <c r="CB34" s="28">
        <v>0</v>
      </c>
      <c r="CC34" s="37">
        <v>0</v>
      </c>
      <c r="CD34" s="30"/>
      <c r="CE34" s="27">
        <v>0</v>
      </c>
      <c r="CF34" s="28">
        <v>0</v>
      </c>
      <c r="CG34" s="36">
        <v>0</v>
      </c>
      <c r="CH34" s="28">
        <v>0</v>
      </c>
      <c r="CI34" s="22">
        <v>0</v>
      </c>
      <c r="CJ34" s="28">
        <v>0</v>
      </c>
      <c r="CK34" s="37">
        <v>0</v>
      </c>
    </row>
    <row r="35" spans="1:89" ht="15" customHeight="1" outlineLevel="1" x14ac:dyDescent="0.25">
      <c r="A35" s="42" t="s">
        <v>59</v>
      </c>
      <c r="B35" s="28"/>
      <c r="C35" s="27">
        <v>1</v>
      </c>
      <c r="D35" s="28">
        <f t="shared" si="1"/>
        <v>-1</v>
      </c>
      <c r="E35" s="28">
        <v>0</v>
      </c>
      <c r="F35" s="28">
        <v>0</v>
      </c>
      <c r="G35" s="28">
        <v>0</v>
      </c>
      <c r="H35" s="28"/>
      <c r="I35" s="29"/>
      <c r="J35" s="6"/>
      <c r="K35" s="27">
        <v>0</v>
      </c>
      <c r="L35" s="28">
        <v>0</v>
      </c>
      <c r="M35" s="28">
        <v>0</v>
      </c>
      <c r="N35" s="28">
        <v>1</v>
      </c>
      <c r="O35" s="28">
        <v>1</v>
      </c>
      <c r="P35" s="28">
        <v>1</v>
      </c>
      <c r="Q35" s="29">
        <v>2</v>
      </c>
      <c r="R35" s="6"/>
      <c r="S35" s="27">
        <v>20</v>
      </c>
      <c r="T35" s="28">
        <v>5</v>
      </c>
      <c r="U35" s="36">
        <v>25</v>
      </c>
      <c r="V35" s="28">
        <v>-6</v>
      </c>
      <c r="W35" s="22">
        <v>19</v>
      </c>
      <c r="X35" s="28">
        <v>0</v>
      </c>
      <c r="Y35" s="37">
        <v>19</v>
      </c>
      <c r="Z35" s="30"/>
      <c r="AA35" s="27">
        <v>23</v>
      </c>
      <c r="AB35" s="28">
        <v>27</v>
      </c>
      <c r="AC35" s="36">
        <v>50</v>
      </c>
      <c r="AD35" s="28">
        <v>18</v>
      </c>
      <c r="AE35" s="22">
        <v>68</v>
      </c>
      <c r="AF35" s="28">
        <v>5</v>
      </c>
      <c r="AG35" s="37">
        <v>73</v>
      </c>
      <c r="AH35" s="30"/>
      <c r="AI35" s="27">
        <v>24</v>
      </c>
      <c r="AJ35" s="28">
        <v>25</v>
      </c>
      <c r="AK35" s="36">
        <v>49</v>
      </c>
      <c r="AL35" s="28">
        <v>19</v>
      </c>
      <c r="AM35" s="22">
        <v>68</v>
      </c>
      <c r="AN35" s="28">
        <v>23</v>
      </c>
      <c r="AO35" s="37">
        <v>91</v>
      </c>
      <c r="AP35" s="30"/>
      <c r="AQ35" s="27">
        <v>15</v>
      </c>
      <c r="AR35" s="28">
        <v>32</v>
      </c>
      <c r="AS35" s="36">
        <v>47</v>
      </c>
      <c r="AT35" s="28">
        <v>60</v>
      </c>
      <c r="AU35" s="22">
        <v>107</v>
      </c>
      <c r="AV35" s="28">
        <v>-17</v>
      </c>
      <c r="AW35" s="37">
        <v>90</v>
      </c>
      <c r="AX35" s="30"/>
      <c r="AY35" s="27">
        <v>0</v>
      </c>
      <c r="AZ35" s="28">
        <v>0</v>
      </c>
      <c r="BA35" s="36">
        <v>0</v>
      </c>
      <c r="BB35" s="28">
        <v>0</v>
      </c>
      <c r="BC35" s="22">
        <v>0</v>
      </c>
      <c r="BD35" s="28">
        <v>0</v>
      </c>
      <c r="BE35" s="37">
        <v>0</v>
      </c>
      <c r="BF35" s="30"/>
      <c r="BG35" s="27">
        <v>0</v>
      </c>
      <c r="BH35" s="28">
        <v>0</v>
      </c>
      <c r="BI35" s="36">
        <v>0</v>
      </c>
      <c r="BJ35" s="28">
        <v>0</v>
      </c>
      <c r="BK35" s="22">
        <v>0</v>
      </c>
      <c r="BL35" s="28">
        <v>0</v>
      </c>
      <c r="BM35" s="37">
        <v>0</v>
      </c>
      <c r="BN35" s="30"/>
      <c r="BO35" s="27">
        <v>0</v>
      </c>
      <c r="BP35" s="28">
        <v>0</v>
      </c>
      <c r="BQ35" s="36">
        <v>0</v>
      </c>
      <c r="BR35" s="28">
        <v>0</v>
      </c>
      <c r="BS35" s="22">
        <v>0</v>
      </c>
      <c r="BT35" s="28">
        <v>0</v>
      </c>
      <c r="BU35" s="37">
        <v>0</v>
      </c>
      <c r="BV35" s="30"/>
      <c r="BW35" s="27">
        <v>0</v>
      </c>
      <c r="BX35" s="28">
        <v>0</v>
      </c>
      <c r="BY35" s="36">
        <v>0</v>
      </c>
      <c r="BZ35" s="28">
        <v>0</v>
      </c>
      <c r="CA35" s="22">
        <v>0</v>
      </c>
      <c r="CB35" s="28">
        <v>0</v>
      </c>
      <c r="CC35" s="37">
        <v>0</v>
      </c>
      <c r="CD35" s="30"/>
      <c r="CE35" s="27">
        <v>0</v>
      </c>
      <c r="CF35" s="28">
        <v>0</v>
      </c>
      <c r="CG35" s="36">
        <v>0</v>
      </c>
      <c r="CH35" s="28">
        <v>0</v>
      </c>
      <c r="CI35" s="22">
        <v>0</v>
      </c>
      <c r="CJ35" s="28">
        <v>0</v>
      </c>
      <c r="CK35" s="37">
        <v>0</v>
      </c>
    </row>
    <row r="36" spans="1:89" ht="15" customHeight="1" outlineLevel="1" x14ac:dyDescent="0.25">
      <c r="A36" s="42" t="s">
        <v>60</v>
      </c>
      <c r="B36" s="28"/>
      <c r="C36" s="27">
        <v>0</v>
      </c>
      <c r="D36" s="28">
        <f t="shared" si="1"/>
        <v>0</v>
      </c>
      <c r="E36" s="28">
        <v>0</v>
      </c>
      <c r="F36" s="28">
        <v>0</v>
      </c>
      <c r="G36" s="28">
        <v>0</v>
      </c>
      <c r="H36" s="28"/>
      <c r="I36" s="29"/>
      <c r="J36" s="6"/>
      <c r="K36" s="27">
        <v>8907</v>
      </c>
      <c r="L36" s="28">
        <v>258</v>
      </c>
      <c r="M36" s="28">
        <v>9165</v>
      </c>
      <c r="N36" s="28">
        <v>0</v>
      </c>
      <c r="O36" s="28">
        <v>9165</v>
      </c>
      <c r="P36" s="28">
        <v>0</v>
      </c>
      <c r="Q36" s="29">
        <v>9165</v>
      </c>
      <c r="R36" s="6"/>
      <c r="S36" s="27">
        <v>0</v>
      </c>
      <c r="T36" s="28">
        <v>0</v>
      </c>
      <c r="U36" s="36">
        <v>0</v>
      </c>
      <c r="V36" s="28">
        <v>0</v>
      </c>
      <c r="W36" s="22">
        <v>0</v>
      </c>
      <c r="X36" s="28">
        <v>0</v>
      </c>
      <c r="Y36" s="37">
        <v>0</v>
      </c>
      <c r="Z36" s="30"/>
      <c r="AA36" s="27">
        <v>0</v>
      </c>
      <c r="AB36" s="28">
        <v>900</v>
      </c>
      <c r="AC36" s="36">
        <v>900</v>
      </c>
      <c r="AD36" s="28">
        <v>0</v>
      </c>
      <c r="AE36" s="22">
        <v>900</v>
      </c>
      <c r="AF36" s="28">
        <v>12018</v>
      </c>
      <c r="AG36" s="37">
        <v>12918</v>
      </c>
      <c r="AH36" s="30"/>
      <c r="AI36" s="27">
        <v>0</v>
      </c>
      <c r="AJ36" s="28">
        <v>0</v>
      </c>
      <c r="AK36" s="36">
        <v>0</v>
      </c>
      <c r="AL36" s="28">
        <v>0</v>
      </c>
      <c r="AM36" s="22">
        <v>0</v>
      </c>
      <c r="AN36" s="28">
        <v>0</v>
      </c>
      <c r="AO36" s="37">
        <v>0</v>
      </c>
      <c r="AP36" s="30"/>
      <c r="AQ36" s="27">
        <v>0</v>
      </c>
      <c r="AR36" s="28">
        <v>0</v>
      </c>
      <c r="AS36" s="36">
        <v>0</v>
      </c>
      <c r="AT36" s="28">
        <v>0</v>
      </c>
      <c r="AU36" s="22">
        <v>0</v>
      </c>
      <c r="AV36" s="28">
        <v>0</v>
      </c>
      <c r="AW36" s="37">
        <v>0</v>
      </c>
      <c r="AX36" s="30"/>
      <c r="AY36" s="27">
        <v>0</v>
      </c>
      <c r="AZ36" s="28">
        <v>0</v>
      </c>
      <c r="BA36" s="36">
        <v>0</v>
      </c>
      <c r="BB36" s="28">
        <v>0</v>
      </c>
      <c r="BC36" s="22">
        <v>0</v>
      </c>
      <c r="BD36" s="28">
        <v>0</v>
      </c>
      <c r="BE36" s="37">
        <v>0</v>
      </c>
      <c r="BF36" s="30"/>
      <c r="BG36" s="27">
        <v>0</v>
      </c>
      <c r="BH36" s="28">
        <v>0</v>
      </c>
      <c r="BI36" s="36">
        <v>0</v>
      </c>
      <c r="BJ36" s="28">
        <v>0</v>
      </c>
      <c r="BK36" s="22">
        <v>0</v>
      </c>
      <c r="BL36" s="28">
        <v>0</v>
      </c>
      <c r="BM36" s="37">
        <v>0</v>
      </c>
      <c r="BN36" s="30"/>
      <c r="BO36" s="27">
        <v>0</v>
      </c>
      <c r="BP36" s="28">
        <v>0</v>
      </c>
      <c r="BQ36" s="36">
        <v>0</v>
      </c>
      <c r="BR36" s="28">
        <v>0</v>
      </c>
      <c r="BS36" s="22">
        <v>0</v>
      </c>
      <c r="BT36" s="28">
        <v>0</v>
      </c>
      <c r="BU36" s="37">
        <v>0</v>
      </c>
      <c r="BV36" s="30"/>
      <c r="BW36" s="27">
        <v>0</v>
      </c>
      <c r="BX36" s="28">
        <v>0</v>
      </c>
      <c r="BY36" s="36">
        <v>0</v>
      </c>
      <c r="BZ36" s="28">
        <v>0</v>
      </c>
      <c r="CA36" s="22">
        <v>0</v>
      </c>
      <c r="CB36" s="28">
        <v>0</v>
      </c>
      <c r="CC36" s="37">
        <v>0</v>
      </c>
      <c r="CD36" s="30"/>
      <c r="CE36" s="27">
        <v>0</v>
      </c>
      <c r="CF36" s="28">
        <v>0</v>
      </c>
      <c r="CG36" s="36">
        <v>0</v>
      </c>
      <c r="CH36" s="28">
        <v>0</v>
      </c>
      <c r="CI36" s="22">
        <v>0</v>
      </c>
      <c r="CJ36" s="28">
        <v>0</v>
      </c>
      <c r="CK36" s="37">
        <v>0</v>
      </c>
    </row>
    <row r="37" spans="1:89" ht="15" customHeight="1" outlineLevel="1" x14ac:dyDescent="0.25">
      <c r="A37" s="42" t="s">
        <v>61</v>
      </c>
      <c r="B37" s="28"/>
      <c r="C37" s="27">
        <v>0</v>
      </c>
      <c r="D37" s="28">
        <f t="shared" si="1"/>
        <v>0</v>
      </c>
      <c r="E37" s="28">
        <v>0</v>
      </c>
      <c r="F37" s="28">
        <v>0</v>
      </c>
      <c r="G37" s="28">
        <v>0</v>
      </c>
      <c r="H37" s="28"/>
      <c r="I37" s="29"/>
      <c r="J37" s="6"/>
      <c r="K37" s="27">
        <v>0</v>
      </c>
      <c r="L37" s="28">
        <v>0</v>
      </c>
      <c r="M37" s="28">
        <v>0</v>
      </c>
      <c r="N37" s="28">
        <v>0</v>
      </c>
      <c r="O37" s="28">
        <v>0</v>
      </c>
      <c r="P37" s="28">
        <v>0</v>
      </c>
      <c r="Q37" s="29">
        <v>0</v>
      </c>
      <c r="R37" s="6"/>
      <c r="S37" s="27">
        <v>0</v>
      </c>
      <c r="T37" s="28">
        <v>0</v>
      </c>
      <c r="U37" s="36">
        <v>0</v>
      </c>
      <c r="V37" s="28">
        <v>0</v>
      </c>
      <c r="W37" s="22">
        <v>0</v>
      </c>
      <c r="X37" s="28">
        <v>0</v>
      </c>
      <c r="Y37" s="37">
        <v>0</v>
      </c>
      <c r="Z37" s="30"/>
      <c r="AA37" s="27">
        <v>0</v>
      </c>
      <c r="AB37" s="28">
        <v>0</v>
      </c>
      <c r="AC37" s="36">
        <v>0</v>
      </c>
      <c r="AD37" s="28">
        <v>0</v>
      </c>
      <c r="AE37" s="22">
        <v>0</v>
      </c>
      <c r="AF37" s="28">
        <v>0</v>
      </c>
      <c r="AG37" s="37">
        <v>0</v>
      </c>
      <c r="AH37" s="30"/>
      <c r="AI37" s="27">
        <v>0</v>
      </c>
      <c r="AJ37" s="28">
        <v>0</v>
      </c>
      <c r="AK37" s="36">
        <v>0</v>
      </c>
      <c r="AL37" s="28">
        <v>0</v>
      </c>
      <c r="AM37" s="22">
        <v>0</v>
      </c>
      <c r="AN37" s="28">
        <v>0</v>
      </c>
      <c r="AO37" s="37">
        <v>0</v>
      </c>
      <c r="AP37" s="30"/>
      <c r="AQ37" s="27">
        <v>0</v>
      </c>
      <c r="AR37" s="28">
        <v>0</v>
      </c>
      <c r="AS37" s="36">
        <v>0</v>
      </c>
      <c r="AT37" s="28">
        <v>0</v>
      </c>
      <c r="AU37" s="22">
        <v>0</v>
      </c>
      <c r="AV37" s="28">
        <v>0</v>
      </c>
      <c r="AW37" s="37">
        <v>0</v>
      </c>
      <c r="AX37" s="30"/>
      <c r="AY37" s="27">
        <v>30</v>
      </c>
      <c r="AZ37" s="28">
        <v>31</v>
      </c>
      <c r="BA37" s="36">
        <v>61</v>
      </c>
      <c r="BB37" s="28">
        <v>27</v>
      </c>
      <c r="BC37" s="22">
        <v>88</v>
      </c>
      <c r="BD37" s="28">
        <v>7</v>
      </c>
      <c r="BE37" s="37">
        <v>95</v>
      </c>
      <c r="BF37" s="30"/>
      <c r="BG37" s="27">
        <v>47</v>
      </c>
      <c r="BH37" s="28">
        <v>16</v>
      </c>
      <c r="BI37" s="36">
        <v>63</v>
      </c>
      <c r="BJ37" s="28">
        <v>15</v>
      </c>
      <c r="BK37" s="22">
        <v>78</v>
      </c>
      <c r="BL37" s="28">
        <v>16</v>
      </c>
      <c r="BM37" s="37">
        <v>94</v>
      </c>
      <c r="BN37" s="30"/>
      <c r="BO37" s="27">
        <v>0</v>
      </c>
      <c r="BP37" s="28">
        <v>0</v>
      </c>
      <c r="BQ37" s="36">
        <v>0</v>
      </c>
      <c r="BR37" s="28">
        <v>0</v>
      </c>
      <c r="BS37" s="22">
        <v>0</v>
      </c>
      <c r="BT37" s="28">
        <v>0</v>
      </c>
      <c r="BU37" s="37">
        <v>0</v>
      </c>
      <c r="BV37" s="30"/>
      <c r="BW37" s="27">
        <v>0</v>
      </c>
      <c r="BX37" s="28">
        <v>0</v>
      </c>
      <c r="BY37" s="36">
        <v>0</v>
      </c>
      <c r="BZ37" s="28">
        <v>0</v>
      </c>
      <c r="CA37" s="22">
        <v>0</v>
      </c>
      <c r="CB37" s="28">
        <v>0</v>
      </c>
      <c r="CC37" s="37">
        <v>0</v>
      </c>
      <c r="CD37" s="30"/>
      <c r="CE37" s="27">
        <v>0</v>
      </c>
      <c r="CF37" s="28">
        <v>0</v>
      </c>
      <c r="CG37" s="36">
        <v>0</v>
      </c>
      <c r="CH37" s="28">
        <v>0</v>
      </c>
      <c r="CI37" s="22">
        <v>0</v>
      </c>
      <c r="CJ37" s="28">
        <v>0</v>
      </c>
      <c r="CK37" s="37">
        <v>0</v>
      </c>
    </row>
    <row r="38" spans="1:89" ht="15" customHeight="1" outlineLevel="1" x14ac:dyDescent="0.25">
      <c r="A38" s="42" t="s">
        <v>62</v>
      </c>
      <c r="B38" s="28"/>
      <c r="C38" s="27">
        <v>0</v>
      </c>
      <c r="D38" s="28">
        <f t="shared" si="1"/>
        <v>0</v>
      </c>
      <c r="E38" s="28">
        <v>0</v>
      </c>
      <c r="F38" s="28">
        <v>0</v>
      </c>
      <c r="G38" s="28">
        <v>0</v>
      </c>
      <c r="H38" s="28"/>
      <c r="I38" s="29"/>
      <c r="J38" s="6"/>
      <c r="K38" s="27">
        <v>0</v>
      </c>
      <c r="L38" s="28">
        <v>0</v>
      </c>
      <c r="M38" s="28">
        <v>0</v>
      </c>
      <c r="N38" s="28">
        <v>0</v>
      </c>
      <c r="O38" s="28">
        <v>0</v>
      </c>
      <c r="P38" s="28">
        <v>0</v>
      </c>
      <c r="Q38" s="29">
        <v>0</v>
      </c>
      <c r="R38" s="6"/>
      <c r="S38" s="27">
        <v>0</v>
      </c>
      <c r="T38" s="28">
        <v>0</v>
      </c>
      <c r="U38" s="36">
        <v>0</v>
      </c>
      <c r="V38" s="28">
        <v>0</v>
      </c>
      <c r="W38" s="22">
        <v>0</v>
      </c>
      <c r="X38" s="28">
        <v>0</v>
      </c>
      <c r="Y38" s="37">
        <v>0</v>
      </c>
      <c r="Z38" s="30"/>
      <c r="AA38" s="27">
        <v>0</v>
      </c>
      <c r="AB38" s="28">
        <v>0</v>
      </c>
      <c r="AC38" s="36">
        <v>0</v>
      </c>
      <c r="AD38" s="28">
        <v>0</v>
      </c>
      <c r="AE38" s="22">
        <v>0</v>
      </c>
      <c r="AF38" s="28">
        <v>0</v>
      </c>
      <c r="AG38" s="37">
        <v>0</v>
      </c>
      <c r="AH38" s="30"/>
      <c r="AI38" s="27">
        <v>0</v>
      </c>
      <c r="AJ38" s="28">
        <v>0</v>
      </c>
      <c r="AK38" s="36">
        <v>0</v>
      </c>
      <c r="AL38" s="28">
        <v>0</v>
      </c>
      <c r="AM38" s="22">
        <v>0</v>
      </c>
      <c r="AN38" s="28">
        <v>0</v>
      </c>
      <c r="AO38" s="37">
        <v>0</v>
      </c>
      <c r="AP38" s="30"/>
      <c r="AQ38" s="27">
        <v>0</v>
      </c>
      <c r="AR38" s="28">
        <v>0</v>
      </c>
      <c r="AS38" s="36">
        <v>0</v>
      </c>
      <c r="AT38" s="28">
        <v>0</v>
      </c>
      <c r="AU38" s="22">
        <v>0</v>
      </c>
      <c r="AV38" s="28">
        <v>0</v>
      </c>
      <c r="AW38" s="37">
        <v>0</v>
      </c>
      <c r="AX38" s="30"/>
      <c r="AY38" s="27">
        <v>0</v>
      </c>
      <c r="AZ38" s="28">
        <v>0</v>
      </c>
      <c r="BA38" s="36">
        <v>0</v>
      </c>
      <c r="BB38" s="28">
        <v>0</v>
      </c>
      <c r="BC38" s="22">
        <v>0</v>
      </c>
      <c r="BD38" s="28">
        <v>0</v>
      </c>
      <c r="BE38" s="37">
        <v>0</v>
      </c>
      <c r="BF38" s="30"/>
      <c r="BG38" s="27">
        <v>0</v>
      </c>
      <c r="BH38" s="28">
        <v>0</v>
      </c>
      <c r="BI38" s="36">
        <v>0</v>
      </c>
      <c r="BJ38" s="28">
        <v>0</v>
      </c>
      <c r="BK38" s="22">
        <v>0</v>
      </c>
      <c r="BL38" s="28">
        <v>0</v>
      </c>
      <c r="BM38" s="37">
        <v>0</v>
      </c>
      <c r="BN38" s="30"/>
      <c r="BO38" s="27">
        <v>0</v>
      </c>
      <c r="BP38" s="28">
        <v>0</v>
      </c>
      <c r="BQ38" s="36">
        <v>0</v>
      </c>
      <c r="BR38" s="28">
        <v>0</v>
      </c>
      <c r="BS38" s="22">
        <v>0</v>
      </c>
      <c r="BT38" s="28">
        <v>0</v>
      </c>
      <c r="BU38" s="37">
        <v>0</v>
      </c>
      <c r="BV38" s="30"/>
      <c r="BW38" s="27">
        <v>0</v>
      </c>
      <c r="BX38" s="28">
        <v>0</v>
      </c>
      <c r="BY38" s="36">
        <v>0</v>
      </c>
      <c r="BZ38" s="28">
        <v>0</v>
      </c>
      <c r="CA38" s="22">
        <v>0</v>
      </c>
      <c r="CB38" s="28">
        <v>0</v>
      </c>
      <c r="CC38" s="37">
        <v>0</v>
      </c>
      <c r="CD38" s="30"/>
      <c r="CE38" s="27">
        <v>0</v>
      </c>
      <c r="CF38" s="28">
        <v>0</v>
      </c>
      <c r="CG38" s="36">
        <v>0</v>
      </c>
      <c r="CH38" s="28">
        <v>0</v>
      </c>
      <c r="CI38" s="22">
        <v>0</v>
      </c>
      <c r="CJ38" s="28">
        <v>0</v>
      </c>
      <c r="CK38" s="37">
        <v>0</v>
      </c>
    </row>
    <row r="39" spans="1:89" ht="15" customHeight="1" outlineLevel="1" x14ac:dyDescent="0.25">
      <c r="A39" s="42" t="s">
        <v>63</v>
      </c>
      <c r="B39" s="28"/>
      <c r="C39" s="27">
        <v>0</v>
      </c>
      <c r="D39" s="28">
        <f t="shared" si="1"/>
        <v>0</v>
      </c>
      <c r="E39" s="28">
        <v>0</v>
      </c>
      <c r="F39" s="28">
        <v>0</v>
      </c>
      <c r="G39" s="28">
        <v>0</v>
      </c>
      <c r="H39" s="28"/>
      <c r="I39" s="29"/>
      <c r="J39" s="6"/>
      <c r="K39" s="27">
        <v>0</v>
      </c>
      <c r="L39" s="28">
        <v>0</v>
      </c>
      <c r="M39" s="28">
        <v>0</v>
      </c>
      <c r="N39" s="28">
        <v>0</v>
      </c>
      <c r="O39" s="28">
        <v>0</v>
      </c>
      <c r="P39" s="28">
        <v>0</v>
      </c>
      <c r="Q39" s="29">
        <v>0</v>
      </c>
      <c r="R39" s="6"/>
      <c r="S39" s="27">
        <v>0</v>
      </c>
      <c r="T39" s="28">
        <v>0</v>
      </c>
      <c r="U39" s="36">
        <v>0</v>
      </c>
      <c r="V39" s="28">
        <v>0</v>
      </c>
      <c r="W39" s="22">
        <v>0</v>
      </c>
      <c r="X39" s="28">
        <v>0</v>
      </c>
      <c r="Y39" s="37">
        <v>0</v>
      </c>
      <c r="Z39" s="30"/>
      <c r="AA39" s="27">
        <v>0</v>
      </c>
      <c r="AB39" s="28">
        <v>0</v>
      </c>
      <c r="AC39" s="36">
        <v>0</v>
      </c>
      <c r="AD39" s="28">
        <v>0</v>
      </c>
      <c r="AE39" s="22">
        <v>0</v>
      </c>
      <c r="AF39" s="28">
        <v>0</v>
      </c>
      <c r="AG39" s="37">
        <v>0</v>
      </c>
      <c r="AH39" s="30"/>
      <c r="AI39" s="27">
        <v>0</v>
      </c>
      <c r="AJ39" s="28">
        <v>0</v>
      </c>
      <c r="AK39" s="36">
        <v>0</v>
      </c>
      <c r="AL39" s="28">
        <v>0</v>
      </c>
      <c r="AM39" s="22">
        <v>0</v>
      </c>
      <c r="AN39" s="28">
        <v>0</v>
      </c>
      <c r="AO39" s="37">
        <v>0</v>
      </c>
      <c r="AP39" s="30"/>
      <c r="AQ39" s="27">
        <v>0</v>
      </c>
      <c r="AR39" s="28">
        <v>0</v>
      </c>
      <c r="AS39" s="36">
        <v>0</v>
      </c>
      <c r="AT39" s="28">
        <v>0</v>
      </c>
      <c r="AU39" s="22">
        <v>0</v>
      </c>
      <c r="AV39" s="28">
        <v>0</v>
      </c>
      <c r="AW39" s="37">
        <v>0</v>
      </c>
      <c r="AX39" s="30"/>
      <c r="AY39" s="27">
        <v>0</v>
      </c>
      <c r="AZ39" s="28">
        <v>0</v>
      </c>
      <c r="BA39" s="36">
        <v>0</v>
      </c>
      <c r="BB39" s="28">
        <v>0</v>
      </c>
      <c r="BC39" s="22">
        <v>0</v>
      </c>
      <c r="BD39" s="28">
        <v>0</v>
      </c>
      <c r="BE39" s="37">
        <v>0</v>
      </c>
      <c r="BF39" s="30"/>
      <c r="BG39" s="27">
        <v>0</v>
      </c>
      <c r="BH39" s="28">
        <v>0</v>
      </c>
      <c r="BI39" s="36">
        <v>0</v>
      </c>
      <c r="BJ39" s="28">
        <v>0</v>
      </c>
      <c r="BK39" s="22">
        <v>0</v>
      </c>
      <c r="BL39" s="28">
        <v>0</v>
      </c>
      <c r="BM39" s="37">
        <v>0</v>
      </c>
      <c r="BN39" s="30"/>
      <c r="BO39" s="27">
        <v>0</v>
      </c>
      <c r="BP39" s="28">
        <v>0</v>
      </c>
      <c r="BQ39" s="36">
        <v>0</v>
      </c>
      <c r="BR39" s="28">
        <v>0</v>
      </c>
      <c r="BS39" s="22">
        <v>0</v>
      </c>
      <c r="BT39" s="28">
        <v>0</v>
      </c>
      <c r="BU39" s="37">
        <v>0</v>
      </c>
      <c r="BV39" s="30"/>
      <c r="BW39" s="27">
        <v>0</v>
      </c>
      <c r="BX39" s="28">
        <v>0</v>
      </c>
      <c r="BY39" s="36">
        <v>0</v>
      </c>
      <c r="BZ39" s="28">
        <v>0</v>
      </c>
      <c r="CA39" s="22">
        <v>0</v>
      </c>
      <c r="CB39" s="28">
        <v>0</v>
      </c>
      <c r="CC39" s="37">
        <v>0</v>
      </c>
      <c r="CD39" s="30"/>
      <c r="CE39" s="27">
        <v>0</v>
      </c>
      <c r="CF39" s="28">
        <v>0</v>
      </c>
      <c r="CG39" s="36">
        <v>0</v>
      </c>
      <c r="CH39" s="28">
        <v>0</v>
      </c>
      <c r="CI39" s="22">
        <v>0</v>
      </c>
      <c r="CJ39" s="28">
        <v>0</v>
      </c>
      <c r="CK39" s="37">
        <v>0</v>
      </c>
    </row>
    <row r="40" spans="1:89" ht="15" customHeight="1" outlineLevel="1" x14ac:dyDescent="0.25">
      <c r="A40" s="42" t="s">
        <v>86</v>
      </c>
      <c r="B40" s="28"/>
      <c r="C40" s="27">
        <v>0</v>
      </c>
      <c r="D40" s="28">
        <f t="shared" si="1"/>
        <v>0</v>
      </c>
      <c r="E40" s="28">
        <v>0</v>
      </c>
      <c r="F40" s="28">
        <v>0</v>
      </c>
      <c r="G40" s="28">
        <v>0</v>
      </c>
      <c r="H40" s="28"/>
      <c r="I40" s="29"/>
      <c r="J40" s="6"/>
      <c r="K40" s="27">
        <v>0</v>
      </c>
      <c r="L40" s="28">
        <v>0</v>
      </c>
      <c r="M40" s="28">
        <v>0</v>
      </c>
      <c r="N40" s="28">
        <v>0</v>
      </c>
      <c r="O40" s="28">
        <v>0</v>
      </c>
      <c r="P40" s="28">
        <v>0</v>
      </c>
      <c r="Q40" s="29">
        <v>0</v>
      </c>
      <c r="R40" s="6"/>
      <c r="S40" s="27">
        <v>0</v>
      </c>
      <c r="T40" s="28">
        <v>0</v>
      </c>
      <c r="U40" s="36">
        <v>0</v>
      </c>
      <c r="V40" s="28">
        <v>0</v>
      </c>
      <c r="W40" s="22">
        <v>0</v>
      </c>
      <c r="X40" s="28">
        <v>0</v>
      </c>
      <c r="Y40" s="37">
        <v>0</v>
      </c>
      <c r="Z40" s="30"/>
      <c r="AA40" s="27">
        <v>0</v>
      </c>
      <c r="AB40" s="28">
        <v>0</v>
      </c>
      <c r="AC40" s="36">
        <v>0</v>
      </c>
      <c r="AD40" s="28">
        <v>0</v>
      </c>
      <c r="AE40" s="22">
        <v>0</v>
      </c>
      <c r="AF40" s="28">
        <v>0</v>
      </c>
      <c r="AG40" s="37">
        <v>0</v>
      </c>
      <c r="AH40" s="30"/>
      <c r="AI40" s="27">
        <v>0</v>
      </c>
      <c r="AJ40" s="28">
        <v>0</v>
      </c>
      <c r="AK40" s="36">
        <v>0</v>
      </c>
      <c r="AL40" s="28">
        <v>0</v>
      </c>
      <c r="AM40" s="22">
        <v>0</v>
      </c>
      <c r="AN40" s="28">
        <v>0</v>
      </c>
      <c r="AO40" s="37">
        <v>0</v>
      </c>
      <c r="AP40" s="30"/>
      <c r="AQ40" s="27">
        <v>0</v>
      </c>
      <c r="AR40" s="28">
        <v>0</v>
      </c>
      <c r="AS40" s="36">
        <v>0</v>
      </c>
      <c r="AT40" s="28">
        <v>0</v>
      </c>
      <c r="AU40" s="22">
        <v>0</v>
      </c>
      <c r="AV40" s="28">
        <v>0</v>
      </c>
      <c r="AW40" s="37">
        <v>0</v>
      </c>
      <c r="AX40" s="30"/>
      <c r="AY40" s="27">
        <v>0</v>
      </c>
      <c r="AZ40" s="28">
        <v>0</v>
      </c>
      <c r="BA40" s="36">
        <v>0</v>
      </c>
      <c r="BB40" s="28">
        <v>0</v>
      </c>
      <c r="BC40" s="22">
        <v>0</v>
      </c>
      <c r="BD40" s="28">
        <v>0</v>
      </c>
      <c r="BE40" s="37">
        <v>0</v>
      </c>
      <c r="BF40" s="30"/>
      <c r="BG40" s="27">
        <v>0</v>
      </c>
      <c r="BH40" s="28">
        <v>0</v>
      </c>
      <c r="BI40" s="36">
        <v>0</v>
      </c>
      <c r="BJ40" s="28">
        <v>0</v>
      </c>
      <c r="BK40" s="22">
        <v>0</v>
      </c>
      <c r="BL40" s="28">
        <v>0</v>
      </c>
      <c r="BM40" s="37">
        <v>0</v>
      </c>
      <c r="BN40" s="30"/>
      <c r="BO40" s="27">
        <v>0</v>
      </c>
      <c r="BP40" s="28">
        <v>0</v>
      </c>
      <c r="BQ40" s="36">
        <v>0</v>
      </c>
      <c r="BR40" s="28">
        <v>0</v>
      </c>
      <c r="BS40" s="22">
        <v>0</v>
      </c>
      <c r="BT40" s="28">
        <v>0</v>
      </c>
      <c r="BU40" s="37">
        <v>0</v>
      </c>
      <c r="BV40" s="30"/>
      <c r="BW40" s="27">
        <v>0</v>
      </c>
      <c r="BX40" s="28">
        <v>0</v>
      </c>
      <c r="BY40" s="36">
        <v>0</v>
      </c>
      <c r="BZ40" s="28">
        <v>0</v>
      </c>
      <c r="CA40" s="22">
        <v>0</v>
      </c>
      <c r="CB40" s="28">
        <v>0</v>
      </c>
      <c r="CC40" s="37">
        <v>0</v>
      </c>
      <c r="CD40" s="30"/>
      <c r="CE40" s="27">
        <v>0</v>
      </c>
      <c r="CF40" s="28">
        <v>0</v>
      </c>
      <c r="CG40" s="36">
        <v>0</v>
      </c>
      <c r="CH40" s="28">
        <v>0</v>
      </c>
      <c r="CI40" s="22"/>
      <c r="CJ40" s="28">
        <v>0</v>
      </c>
      <c r="CK40" s="37">
        <v>0</v>
      </c>
    </row>
    <row r="41" spans="1:89" ht="15" customHeight="1" outlineLevel="1" x14ac:dyDescent="0.25">
      <c r="A41" s="42" t="s">
        <v>14</v>
      </c>
      <c r="B41" s="28"/>
      <c r="C41" s="27">
        <v>88</v>
      </c>
      <c r="D41" s="28">
        <f t="shared" si="1"/>
        <v>87</v>
      </c>
      <c r="E41" s="28">
        <v>175</v>
      </c>
      <c r="F41" s="28">
        <v>0</v>
      </c>
      <c r="G41" s="28">
        <v>0</v>
      </c>
      <c r="H41" s="28"/>
      <c r="I41" s="29"/>
      <c r="J41" s="6"/>
      <c r="K41" s="27">
        <v>87</v>
      </c>
      <c r="L41" s="28">
        <v>88</v>
      </c>
      <c r="M41" s="28">
        <v>175</v>
      </c>
      <c r="N41" s="28">
        <v>87</v>
      </c>
      <c r="O41" s="28">
        <v>262</v>
      </c>
      <c r="P41" s="28">
        <v>88</v>
      </c>
      <c r="Q41" s="29">
        <v>350</v>
      </c>
      <c r="R41" s="6"/>
      <c r="S41" s="27">
        <v>88</v>
      </c>
      <c r="T41" s="28">
        <v>87</v>
      </c>
      <c r="U41" s="36">
        <v>175</v>
      </c>
      <c r="V41" s="28">
        <v>88</v>
      </c>
      <c r="W41" s="22">
        <v>263</v>
      </c>
      <c r="X41" s="28">
        <v>87</v>
      </c>
      <c r="Y41" s="37">
        <v>350</v>
      </c>
      <c r="Z41" s="30"/>
      <c r="AA41" s="27">
        <v>88</v>
      </c>
      <c r="AB41" s="28">
        <v>87</v>
      </c>
      <c r="AC41" s="36">
        <v>175</v>
      </c>
      <c r="AD41" s="28">
        <v>88</v>
      </c>
      <c r="AE41" s="22">
        <v>263</v>
      </c>
      <c r="AF41" s="28">
        <v>87</v>
      </c>
      <c r="AG41" s="37">
        <v>350</v>
      </c>
      <c r="AH41" s="30"/>
      <c r="AI41" s="27">
        <v>88</v>
      </c>
      <c r="AJ41" s="28">
        <v>87</v>
      </c>
      <c r="AK41" s="36">
        <v>175</v>
      </c>
      <c r="AL41" s="28">
        <v>88</v>
      </c>
      <c r="AM41" s="22">
        <v>263</v>
      </c>
      <c r="AN41" s="28">
        <v>87</v>
      </c>
      <c r="AO41" s="37">
        <v>350</v>
      </c>
      <c r="AP41" s="30"/>
      <c r="AQ41" s="27">
        <v>88</v>
      </c>
      <c r="AR41" s="28">
        <v>87</v>
      </c>
      <c r="AS41" s="36">
        <v>175</v>
      </c>
      <c r="AT41" s="28">
        <v>87</v>
      </c>
      <c r="AU41" s="22">
        <v>262</v>
      </c>
      <c r="AV41" s="28">
        <v>88</v>
      </c>
      <c r="AW41" s="37">
        <v>350</v>
      </c>
      <c r="AX41" s="30"/>
      <c r="AY41" s="27">
        <v>88</v>
      </c>
      <c r="AZ41" s="28">
        <v>87</v>
      </c>
      <c r="BA41" s="36">
        <v>175</v>
      </c>
      <c r="BB41" s="28">
        <v>88</v>
      </c>
      <c r="BC41" s="22">
        <v>263</v>
      </c>
      <c r="BD41" s="28">
        <v>87</v>
      </c>
      <c r="BE41" s="37">
        <v>350</v>
      </c>
      <c r="BF41" s="30"/>
      <c r="BG41" s="27">
        <v>88</v>
      </c>
      <c r="BH41" s="28">
        <v>87</v>
      </c>
      <c r="BI41" s="36">
        <v>175</v>
      </c>
      <c r="BJ41" s="28">
        <v>88</v>
      </c>
      <c r="BK41" s="22">
        <v>263</v>
      </c>
      <c r="BL41" s="28">
        <v>0</v>
      </c>
      <c r="BM41" s="37">
        <v>263</v>
      </c>
      <c r="BN41" s="30"/>
      <c r="BO41" s="27">
        <v>88</v>
      </c>
      <c r="BP41" s="28">
        <v>87</v>
      </c>
      <c r="BQ41" s="36">
        <v>175</v>
      </c>
      <c r="BR41" s="28">
        <v>88</v>
      </c>
      <c r="BS41" s="22">
        <v>263</v>
      </c>
      <c r="BT41" s="28">
        <v>87</v>
      </c>
      <c r="BU41" s="37">
        <v>350</v>
      </c>
      <c r="BV41" s="30"/>
      <c r="BW41" s="27">
        <v>87</v>
      </c>
      <c r="BX41" s="28">
        <v>87</v>
      </c>
      <c r="BY41" s="28">
        <v>174</v>
      </c>
      <c r="BZ41" s="28">
        <v>88</v>
      </c>
      <c r="CA41" s="28">
        <v>262</v>
      </c>
      <c r="CB41" s="28">
        <v>87</v>
      </c>
      <c r="CC41" s="37">
        <v>349</v>
      </c>
      <c r="CD41" s="30"/>
      <c r="CE41" s="27">
        <v>0</v>
      </c>
      <c r="CF41" s="28">
        <v>0</v>
      </c>
      <c r="CG41" s="36">
        <v>0</v>
      </c>
      <c r="CH41" s="28">
        <v>58</v>
      </c>
      <c r="CI41" s="22">
        <v>58</v>
      </c>
      <c r="CJ41" s="28">
        <v>87</v>
      </c>
      <c r="CK41" s="37">
        <v>145</v>
      </c>
    </row>
    <row r="42" spans="1:89" ht="17.25" customHeight="1" outlineLevel="1" x14ac:dyDescent="0.4">
      <c r="A42" s="42" t="s">
        <v>34</v>
      </c>
      <c r="B42" s="32"/>
      <c r="C42" s="31">
        <v>0</v>
      </c>
      <c r="D42" s="32">
        <f t="shared" si="1"/>
        <v>0</v>
      </c>
      <c r="E42" s="32">
        <v>0</v>
      </c>
      <c r="F42" s="32">
        <v>0</v>
      </c>
      <c r="G42" s="32">
        <v>0</v>
      </c>
      <c r="H42" s="32"/>
      <c r="I42" s="33"/>
      <c r="J42" s="6"/>
      <c r="K42" s="31">
        <v>0</v>
      </c>
      <c r="L42" s="32">
        <v>0</v>
      </c>
      <c r="M42" s="32">
        <v>0</v>
      </c>
      <c r="N42" s="32">
        <v>0</v>
      </c>
      <c r="O42" s="32">
        <v>0</v>
      </c>
      <c r="P42" s="32">
        <v>0</v>
      </c>
      <c r="Q42" s="33">
        <v>0</v>
      </c>
      <c r="R42" s="6"/>
      <c r="S42" s="31">
        <v>0</v>
      </c>
      <c r="T42" s="32">
        <v>0</v>
      </c>
      <c r="U42" s="32">
        <v>0</v>
      </c>
      <c r="V42" s="32">
        <v>0</v>
      </c>
      <c r="W42" s="32">
        <v>0</v>
      </c>
      <c r="X42" s="32">
        <v>0</v>
      </c>
      <c r="Y42" s="33">
        <v>0</v>
      </c>
      <c r="Z42" s="30"/>
      <c r="AA42" s="31">
        <v>0</v>
      </c>
      <c r="AB42" s="32">
        <v>0</v>
      </c>
      <c r="AC42" s="32">
        <v>0</v>
      </c>
      <c r="AD42" s="32">
        <v>0</v>
      </c>
      <c r="AE42" s="32">
        <v>0</v>
      </c>
      <c r="AF42" s="32">
        <v>0</v>
      </c>
      <c r="AG42" s="33">
        <v>0</v>
      </c>
      <c r="AH42" s="30"/>
      <c r="AI42" s="31">
        <v>0</v>
      </c>
      <c r="AJ42" s="32">
        <v>0</v>
      </c>
      <c r="AK42" s="32">
        <v>0</v>
      </c>
      <c r="AL42" s="32">
        <v>0</v>
      </c>
      <c r="AM42" s="32">
        <v>0</v>
      </c>
      <c r="AN42" s="32">
        <v>0</v>
      </c>
      <c r="AO42" s="33">
        <v>0</v>
      </c>
      <c r="AP42" s="30"/>
      <c r="AQ42" s="31">
        <v>0</v>
      </c>
      <c r="AR42" s="32">
        <v>0</v>
      </c>
      <c r="AS42" s="32">
        <v>0</v>
      </c>
      <c r="AT42" s="32">
        <v>0</v>
      </c>
      <c r="AU42" s="32">
        <v>0</v>
      </c>
      <c r="AV42" s="32">
        <v>0</v>
      </c>
      <c r="AW42" s="33">
        <v>0</v>
      </c>
      <c r="AX42" s="30"/>
      <c r="AY42" s="31">
        <v>0</v>
      </c>
      <c r="AZ42" s="32">
        <v>0</v>
      </c>
      <c r="BA42" s="32">
        <v>0</v>
      </c>
      <c r="BB42" s="32">
        <v>0</v>
      </c>
      <c r="BC42" s="32">
        <v>0</v>
      </c>
      <c r="BD42" s="32">
        <v>42</v>
      </c>
      <c r="BE42" s="33">
        <v>42</v>
      </c>
      <c r="BF42" s="30"/>
      <c r="BG42" s="31">
        <v>0</v>
      </c>
      <c r="BH42" s="32">
        <v>1</v>
      </c>
      <c r="BI42" s="32">
        <v>1</v>
      </c>
      <c r="BJ42" s="32">
        <v>-2</v>
      </c>
      <c r="BK42" s="32">
        <v>-1</v>
      </c>
      <c r="BL42" s="32">
        <v>66</v>
      </c>
      <c r="BM42" s="33">
        <v>65</v>
      </c>
      <c r="BN42" s="30"/>
      <c r="BO42" s="31">
        <v>7</v>
      </c>
      <c r="BP42" s="32">
        <v>10</v>
      </c>
      <c r="BQ42" s="32">
        <v>17</v>
      </c>
      <c r="BR42" s="32">
        <v>-19</v>
      </c>
      <c r="BS42" s="32">
        <v>-2</v>
      </c>
      <c r="BT42" s="32">
        <v>1</v>
      </c>
      <c r="BU42" s="33">
        <v>-1</v>
      </c>
      <c r="BV42" s="30"/>
      <c r="BW42" s="31">
        <v>0</v>
      </c>
      <c r="BX42" s="32">
        <v>0</v>
      </c>
      <c r="BY42" s="32">
        <v>0</v>
      </c>
      <c r="BZ42" s="32">
        <v>-6</v>
      </c>
      <c r="CA42" s="32">
        <v>-6</v>
      </c>
      <c r="CB42" s="32">
        <v>9</v>
      </c>
      <c r="CC42" s="33">
        <v>3</v>
      </c>
      <c r="CD42" s="30"/>
      <c r="CE42" s="31">
        <v>0</v>
      </c>
      <c r="CF42" s="32">
        <v>0</v>
      </c>
      <c r="CG42" s="32">
        <v>0</v>
      </c>
      <c r="CH42" s="32">
        <v>0</v>
      </c>
      <c r="CI42" s="32">
        <v>0</v>
      </c>
      <c r="CJ42" s="32">
        <v>0</v>
      </c>
      <c r="CK42" s="33">
        <v>0</v>
      </c>
    </row>
    <row r="43" spans="1:89" s="14" customFormat="1" x14ac:dyDescent="0.25">
      <c r="A43" s="88" t="s">
        <v>65</v>
      </c>
      <c r="B43" s="20"/>
      <c r="C43" s="25">
        <v>131</v>
      </c>
      <c r="D43" s="20">
        <f t="shared" si="1"/>
        <v>2043</v>
      </c>
      <c r="E43" s="20">
        <v>2174</v>
      </c>
      <c r="F43" s="20">
        <v>0</v>
      </c>
      <c r="G43" s="20">
        <v>0</v>
      </c>
      <c r="H43" s="20"/>
      <c r="I43" s="21"/>
      <c r="J43" s="12"/>
      <c r="K43" s="25">
        <v>923</v>
      </c>
      <c r="L43" s="20">
        <v>1926</v>
      </c>
      <c r="M43" s="20">
        <v>2849</v>
      </c>
      <c r="N43" s="20">
        <v>1930</v>
      </c>
      <c r="O43" s="20">
        <v>4779</v>
      </c>
      <c r="P43" s="20">
        <v>-1485</v>
      </c>
      <c r="Q43" s="21">
        <v>3294</v>
      </c>
      <c r="R43" s="12"/>
      <c r="S43" s="25">
        <v>1461</v>
      </c>
      <c r="T43" s="20">
        <v>1253</v>
      </c>
      <c r="U43" s="39">
        <v>2714</v>
      </c>
      <c r="V43" s="20">
        <v>1260</v>
      </c>
      <c r="W43" s="39">
        <v>3974</v>
      </c>
      <c r="X43" s="20">
        <v>1200</v>
      </c>
      <c r="Y43" s="40">
        <v>5174</v>
      </c>
      <c r="Z43" s="26"/>
      <c r="AA43" s="25">
        <v>1434</v>
      </c>
      <c r="AB43" s="20">
        <v>1408</v>
      </c>
      <c r="AC43" s="39">
        <v>2842</v>
      </c>
      <c r="AD43" s="20">
        <v>1224</v>
      </c>
      <c r="AE43" s="39">
        <v>4066</v>
      </c>
      <c r="AF43" s="20">
        <v>1256</v>
      </c>
      <c r="AG43" s="40">
        <v>5322</v>
      </c>
      <c r="AH43" s="26"/>
      <c r="AI43" s="25">
        <v>1569</v>
      </c>
      <c r="AJ43" s="20">
        <v>1746</v>
      </c>
      <c r="AK43" s="39">
        <v>3315</v>
      </c>
      <c r="AL43" s="20">
        <v>1821</v>
      </c>
      <c r="AM43" s="39">
        <v>5136</v>
      </c>
      <c r="AN43" s="20">
        <v>1303</v>
      </c>
      <c r="AO43" s="40">
        <v>6439</v>
      </c>
      <c r="AP43" s="26"/>
      <c r="AQ43" s="25">
        <v>1932</v>
      </c>
      <c r="AR43" s="20">
        <v>1811</v>
      </c>
      <c r="AS43" s="39">
        <v>3743</v>
      </c>
      <c r="AT43" s="20">
        <v>2422</v>
      </c>
      <c r="AU43" s="39">
        <v>6165</v>
      </c>
      <c r="AV43" s="20">
        <v>1708</v>
      </c>
      <c r="AW43" s="40">
        <v>7873</v>
      </c>
      <c r="AX43" s="26"/>
      <c r="AY43" s="25">
        <v>2961</v>
      </c>
      <c r="AZ43" s="20">
        <v>4141</v>
      </c>
      <c r="BA43" s="39">
        <v>7102</v>
      </c>
      <c r="BB43" s="20">
        <v>2926</v>
      </c>
      <c r="BC43" s="39">
        <v>10028</v>
      </c>
      <c r="BD43" s="20">
        <v>1367</v>
      </c>
      <c r="BE43" s="40">
        <v>11395</v>
      </c>
      <c r="BF43" s="26"/>
      <c r="BG43" s="25">
        <v>1947</v>
      </c>
      <c r="BH43" s="20">
        <v>2518</v>
      </c>
      <c r="BI43" s="39">
        <v>4465</v>
      </c>
      <c r="BJ43" s="20">
        <v>2818</v>
      </c>
      <c r="BK43" s="39">
        <v>7283</v>
      </c>
      <c r="BL43" s="20">
        <v>3097</v>
      </c>
      <c r="BM43" s="40">
        <v>10380</v>
      </c>
      <c r="BN43" s="26"/>
      <c r="BO43" s="25">
        <v>1215</v>
      </c>
      <c r="BP43" s="20">
        <v>1868</v>
      </c>
      <c r="BQ43" s="39">
        <v>3083</v>
      </c>
      <c r="BR43" s="20">
        <v>2505</v>
      </c>
      <c r="BS43" s="39">
        <v>5588</v>
      </c>
      <c r="BT43" s="20">
        <v>1730</v>
      </c>
      <c r="BU43" s="40">
        <v>7318</v>
      </c>
      <c r="BV43" s="26"/>
      <c r="BW43" s="25">
        <v>942</v>
      </c>
      <c r="BX43" s="20">
        <v>879</v>
      </c>
      <c r="BY43" s="39">
        <v>1821</v>
      </c>
      <c r="BZ43" s="20">
        <v>1751</v>
      </c>
      <c r="CA43" s="39">
        <v>3572</v>
      </c>
      <c r="CB43" s="20">
        <v>2047</v>
      </c>
      <c r="CC43" s="40">
        <v>5619</v>
      </c>
      <c r="CD43" s="26"/>
      <c r="CE43" s="25"/>
      <c r="CF43" s="20"/>
      <c r="CG43" s="39"/>
      <c r="CH43" s="20">
        <v>369</v>
      </c>
      <c r="CI43" s="39">
        <v>369</v>
      </c>
      <c r="CJ43" s="20">
        <v>41</v>
      </c>
      <c r="CK43" s="40">
        <v>410</v>
      </c>
    </row>
    <row r="44" spans="1:89" x14ac:dyDescent="0.25">
      <c r="A44" s="5"/>
      <c r="B44" s="20"/>
      <c r="C44" s="25"/>
      <c r="D44" s="20"/>
      <c r="E44" s="20"/>
      <c r="F44" s="20"/>
      <c r="G44" s="20"/>
      <c r="H44" s="20"/>
      <c r="I44" s="21"/>
      <c r="J44" s="6"/>
      <c r="K44" s="25"/>
      <c r="L44" s="20"/>
      <c r="M44" s="20"/>
      <c r="N44" s="20"/>
      <c r="O44" s="20"/>
      <c r="P44" s="20"/>
      <c r="Q44" s="21"/>
      <c r="R44" s="6"/>
      <c r="S44" s="25"/>
      <c r="T44" s="30"/>
      <c r="U44" s="30"/>
      <c r="V44" s="30"/>
      <c r="W44" s="30"/>
      <c r="X44" s="30"/>
      <c r="Y44" s="41"/>
      <c r="Z44" s="6"/>
      <c r="AA44" s="25"/>
      <c r="AB44" s="30"/>
      <c r="AC44" s="30"/>
      <c r="AD44" s="30"/>
      <c r="AE44" s="30"/>
      <c r="AF44" s="30"/>
      <c r="AG44" s="41"/>
      <c r="AH44" s="6"/>
      <c r="AI44" s="25"/>
      <c r="AJ44" s="30"/>
      <c r="AK44" s="30"/>
      <c r="AL44" s="30"/>
      <c r="AM44" s="30"/>
      <c r="AN44" s="30"/>
      <c r="AO44" s="41"/>
      <c r="AP44" s="6"/>
      <c r="AQ44" s="25"/>
      <c r="AR44" s="30"/>
      <c r="AS44" s="30"/>
      <c r="AT44" s="30"/>
      <c r="AU44" s="30"/>
      <c r="AV44" s="30"/>
      <c r="AW44" s="41"/>
      <c r="AX44" s="6"/>
      <c r="AY44" s="25"/>
      <c r="AZ44" s="30"/>
      <c r="BA44" s="30"/>
      <c r="BB44" s="30"/>
      <c r="BC44" s="30"/>
      <c r="BD44" s="30"/>
      <c r="BE44" s="41"/>
      <c r="BF44" s="6"/>
      <c r="BG44" s="25"/>
      <c r="BH44" s="30"/>
      <c r="BI44" s="30"/>
      <c r="BJ44" s="30"/>
      <c r="BK44" s="30"/>
      <c r="BL44" s="30"/>
      <c r="BM44" s="41"/>
      <c r="BN44" s="6"/>
      <c r="BO44" s="25"/>
      <c r="BP44" s="30"/>
      <c r="BQ44" s="30"/>
      <c r="BR44" s="30"/>
      <c r="BS44" s="30"/>
      <c r="BT44" s="30"/>
      <c r="BU44" s="41"/>
      <c r="BV44" s="6"/>
      <c r="BW44" s="25">
        <v>0</v>
      </c>
      <c r="BX44" s="30">
        <v>0</v>
      </c>
      <c r="BY44" s="30"/>
      <c r="BZ44" s="30">
        <v>0</v>
      </c>
      <c r="CA44" s="30"/>
      <c r="CB44" s="30"/>
      <c r="CC44" s="41"/>
      <c r="CD44" s="6"/>
      <c r="CE44" s="25"/>
      <c r="CF44" s="30"/>
      <c r="CG44" s="30"/>
      <c r="CH44" s="30"/>
      <c r="CI44" s="30"/>
      <c r="CJ44" s="30"/>
      <c r="CK44" s="41"/>
    </row>
    <row r="45" spans="1:89" x14ac:dyDescent="0.25">
      <c r="A45" s="5"/>
      <c r="B45" s="20"/>
      <c r="C45" s="25"/>
      <c r="D45" s="20"/>
      <c r="E45" s="20"/>
      <c r="F45" s="20"/>
      <c r="G45" s="20"/>
      <c r="H45" s="20"/>
      <c r="I45" s="21"/>
      <c r="J45" s="6"/>
      <c r="K45" s="25"/>
      <c r="L45" s="20"/>
      <c r="M45" s="20"/>
      <c r="N45" s="20"/>
      <c r="O45" s="20"/>
      <c r="P45" s="20"/>
      <c r="Q45" s="21"/>
      <c r="R45" s="6"/>
      <c r="S45" s="25"/>
      <c r="T45" s="30"/>
      <c r="U45" s="30"/>
      <c r="V45" s="30"/>
      <c r="W45" s="30"/>
      <c r="X45" s="30"/>
      <c r="Y45" s="41"/>
      <c r="Z45" s="6"/>
      <c r="AA45" s="25"/>
      <c r="AB45" s="30"/>
      <c r="AC45" s="30"/>
      <c r="AD45" s="30"/>
      <c r="AE45" s="30"/>
      <c r="AF45" s="30"/>
      <c r="AG45" s="41"/>
      <c r="AH45" s="6"/>
      <c r="AI45" s="25"/>
      <c r="AJ45" s="30"/>
      <c r="AK45" s="30"/>
      <c r="AL45" s="30"/>
      <c r="AM45" s="30"/>
      <c r="AN45" s="30"/>
      <c r="AO45" s="41"/>
      <c r="AP45" s="6"/>
      <c r="AQ45" s="25"/>
      <c r="AR45" s="30"/>
      <c r="AS45" s="30"/>
      <c r="AT45" s="30"/>
      <c r="AU45" s="30"/>
      <c r="AV45" s="30"/>
      <c r="AW45" s="41"/>
      <c r="AX45" s="6"/>
      <c r="AY45" s="25"/>
      <c r="AZ45" s="30"/>
      <c r="BA45" s="30"/>
      <c r="BB45" s="30"/>
      <c r="BC45" s="30"/>
      <c r="BD45" s="30"/>
      <c r="BE45" s="41"/>
      <c r="BF45" s="6"/>
      <c r="BG45" s="25"/>
      <c r="BH45" s="30"/>
      <c r="BI45" s="30"/>
      <c r="BJ45" s="30"/>
      <c r="BK45" s="30"/>
      <c r="BL45" s="30"/>
      <c r="BM45" s="41"/>
      <c r="BN45" s="6"/>
      <c r="BO45" s="25"/>
      <c r="BP45" s="30"/>
      <c r="BQ45" s="30"/>
      <c r="BR45" s="30"/>
      <c r="BS45" s="30"/>
      <c r="BT45" s="30"/>
      <c r="BU45" s="41"/>
      <c r="BV45" s="6"/>
      <c r="BW45" s="25">
        <v>0</v>
      </c>
      <c r="BX45" s="30">
        <v>0</v>
      </c>
      <c r="BY45" s="30"/>
      <c r="BZ45" s="30">
        <v>0</v>
      </c>
      <c r="CA45" s="30"/>
      <c r="CB45" s="30"/>
      <c r="CC45" s="41"/>
      <c r="CD45" s="6"/>
      <c r="CE45" s="25"/>
      <c r="CF45" s="30"/>
      <c r="CG45" s="30"/>
      <c r="CH45" s="30"/>
      <c r="CI45" s="30"/>
      <c r="CJ45" s="30"/>
      <c r="CK45" s="41"/>
    </row>
    <row r="46" spans="1:89" s="14" customFormat="1" x14ac:dyDescent="0.25">
      <c r="A46" s="16" t="s">
        <v>25</v>
      </c>
      <c r="B46" s="20"/>
      <c r="C46" s="25">
        <v>28385</v>
      </c>
      <c r="D46" s="20">
        <v>28419</v>
      </c>
      <c r="E46" s="20"/>
      <c r="F46" s="20">
        <v>0</v>
      </c>
      <c r="G46" s="20">
        <v>0</v>
      </c>
      <c r="H46" s="20"/>
      <c r="I46" s="21"/>
      <c r="J46" s="12"/>
      <c r="K46" s="25">
        <v>30882</v>
      </c>
      <c r="L46" s="20">
        <v>31358</v>
      </c>
      <c r="M46" s="20"/>
      <c r="N46" s="20">
        <v>35515</v>
      </c>
      <c r="O46" s="20"/>
      <c r="P46" s="20">
        <v>31771</v>
      </c>
      <c r="Q46" s="21"/>
      <c r="R46" s="12"/>
      <c r="S46" s="25">
        <v>40822</v>
      </c>
      <c r="T46" s="39">
        <v>41124</v>
      </c>
      <c r="U46" s="39"/>
      <c r="V46" s="39">
        <v>39136</v>
      </c>
      <c r="W46" s="39"/>
      <c r="X46" s="39">
        <v>38600</v>
      </c>
      <c r="Y46" s="40"/>
      <c r="Z46" s="26"/>
      <c r="AA46" s="25">
        <v>46511</v>
      </c>
      <c r="AB46" s="39">
        <v>43697</v>
      </c>
      <c r="AC46" s="39"/>
      <c r="AD46" s="39">
        <v>44852</v>
      </c>
      <c r="AE46" s="39"/>
      <c r="AF46" s="39">
        <v>38789</v>
      </c>
      <c r="AG46" s="40"/>
      <c r="AH46" s="26"/>
      <c r="AI46" s="25">
        <v>43761</v>
      </c>
      <c r="AJ46" s="39">
        <v>44097</v>
      </c>
      <c r="AK46" s="39"/>
      <c r="AL46" s="39">
        <v>44548</v>
      </c>
      <c r="AM46" s="39"/>
      <c r="AN46" s="39">
        <v>44486</v>
      </c>
      <c r="AO46" s="40"/>
      <c r="AP46" s="26"/>
      <c r="AQ46" s="25">
        <v>45112</v>
      </c>
      <c r="AR46" s="39">
        <v>45254</v>
      </c>
      <c r="AS46" s="39"/>
      <c r="AT46" s="39">
        <v>45315</v>
      </c>
      <c r="AU46" s="39"/>
      <c r="AV46" s="39">
        <v>43330</v>
      </c>
      <c r="AW46" s="40"/>
      <c r="AX46" s="26"/>
      <c r="AY46" s="25">
        <v>46421</v>
      </c>
      <c r="AZ46" s="39">
        <v>47499</v>
      </c>
      <c r="BA46" s="39"/>
      <c r="BB46" s="39">
        <v>45930</v>
      </c>
      <c r="BC46" s="39"/>
      <c r="BD46" s="39">
        <v>44698</v>
      </c>
      <c r="BE46" s="40"/>
      <c r="BF46" s="26"/>
      <c r="BG46" s="25">
        <v>48779</v>
      </c>
      <c r="BH46" s="39">
        <v>48834</v>
      </c>
      <c r="BI46" s="39"/>
      <c r="BJ46" s="39">
        <v>47902</v>
      </c>
      <c r="BK46" s="39"/>
      <c r="BL46" s="39">
        <v>49165</v>
      </c>
      <c r="BM46" s="40"/>
      <c r="BN46" s="26"/>
      <c r="BO46" s="25">
        <v>49480</v>
      </c>
      <c r="BP46" s="39">
        <v>50199</v>
      </c>
      <c r="BQ46" s="39"/>
      <c r="BR46" s="39">
        <v>53115</v>
      </c>
      <c r="BS46" s="39"/>
      <c r="BT46" s="39">
        <v>50004</v>
      </c>
      <c r="BU46" s="40"/>
      <c r="BV46" s="26"/>
      <c r="BW46" s="25">
        <v>44189</v>
      </c>
      <c r="BX46" s="20">
        <v>49115</v>
      </c>
      <c r="BY46" s="39"/>
      <c r="BZ46" s="20">
        <v>49886</v>
      </c>
      <c r="CA46" s="39"/>
      <c r="CB46" s="20">
        <v>52723</v>
      </c>
      <c r="CC46" s="40"/>
      <c r="CD46" s="26"/>
      <c r="CE46" s="25">
        <v>0</v>
      </c>
      <c r="CF46" s="20">
        <v>0</v>
      </c>
      <c r="CG46" s="39"/>
      <c r="CH46" s="39">
        <v>35160</v>
      </c>
      <c r="CI46" s="20"/>
      <c r="CJ46" s="20">
        <v>44674</v>
      </c>
      <c r="CK46" s="40"/>
    </row>
    <row r="47" spans="1:89" s="14" customFormat="1" ht="7.5" customHeight="1" x14ac:dyDescent="0.25">
      <c r="A47" s="16"/>
      <c r="B47" s="20"/>
      <c r="C47" s="25"/>
      <c r="D47" s="20"/>
      <c r="E47" s="20"/>
      <c r="F47" s="20"/>
      <c r="G47" s="20"/>
      <c r="H47" s="20"/>
      <c r="I47" s="21"/>
      <c r="J47" s="12"/>
      <c r="K47" s="25"/>
      <c r="L47" s="20"/>
      <c r="M47" s="20"/>
      <c r="N47" s="20"/>
      <c r="O47" s="20"/>
      <c r="P47" s="20"/>
      <c r="Q47" s="21"/>
      <c r="R47" s="12"/>
      <c r="S47" s="25"/>
      <c r="T47" s="39"/>
      <c r="U47" s="39"/>
      <c r="V47" s="26"/>
      <c r="W47" s="39"/>
      <c r="X47" s="39"/>
      <c r="Y47" s="40"/>
      <c r="Z47" s="30"/>
      <c r="AA47" s="25"/>
      <c r="AB47" s="39"/>
      <c r="AC47" s="39"/>
      <c r="AD47" s="26"/>
      <c r="AE47" s="39"/>
      <c r="AF47" s="39"/>
      <c r="AG47" s="40"/>
      <c r="AH47" s="30"/>
      <c r="AI47" s="25"/>
      <c r="AJ47" s="39"/>
      <c r="AK47" s="39"/>
      <c r="AL47" s="26"/>
      <c r="AM47" s="39"/>
      <c r="AN47" s="39"/>
      <c r="AO47" s="40"/>
      <c r="AP47" s="30"/>
      <c r="AQ47" s="25"/>
      <c r="AR47" s="39"/>
      <c r="AS47" s="39"/>
      <c r="AT47" s="26"/>
      <c r="AU47" s="39"/>
      <c r="AV47" s="39"/>
      <c r="AW47" s="40"/>
      <c r="AX47" s="30"/>
      <c r="AY47" s="25"/>
      <c r="AZ47" s="39"/>
      <c r="BA47" s="39"/>
      <c r="BB47" s="26"/>
      <c r="BC47" s="39"/>
      <c r="BD47" s="39"/>
      <c r="BE47" s="40"/>
      <c r="BF47" s="30"/>
      <c r="BG47" s="25"/>
      <c r="BH47" s="39"/>
      <c r="BI47" s="39"/>
      <c r="BJ47" s="26"/>
      <c r="BK47" s="39"/>
      <c r="BL47" s="39"/>
      <c r="BM47" s="40"/>
      <c r="BN47" s="30"/>
      <c r="BO47" s="25"/>
      <c r="BP47" s="39"/>
      <c r="BQ47" s="39"/>
      <c r="BR47" s="26"/>
      <c r="BS47" s="39"/>
      <c r="BT47" s="39"/>
      <c r="BU47" s="40"/>
      <c r="BV47" s="30"/>
      <c r="BW47" s="25"/>
      <c r="BX47" s="39"/>
      <c r="BY47" s="39"/>
      <c r="BZ47" s="39"/>
      <c r="CA47" s="39"/>
      <c r="CB47" s="39"/>
      <c r="CC47" s="40"/>
      <c r="CD47" s="30"/>
      <c r="CE47" s="25"/>
      <c r="CF47" s="20"/>
      <c r="CG47" s="39"/>
      <c r="CH47" s="39"/>
      <c r="CI47" s="39"/>
      <c r="CJ47" s="39"/>
      <c r="CK47" s="40"/>
    </row>
    <row r="48" spans="1:89" ht="15" customHeight="1" outlineLevel="1" x14ac:dyDescent="0.25">
      <c r="A48" s="42" t="s">
        <v>26</v>
      </c>
      <c r="B48" s="28"/>
      <c r="C48" s="27">
        <v>11991</v>
      </c>
      <c r="D48" s="28">
        <v>11242</v>
      </c>
      <c r="E48" s="28"/>
      <c r="F48" s="28">
        <v>0</v>
      </c>
      <c r="G48" s="28">
        <v>0</v>
      </c>
      <c r="H48" s="28"/>
      <c r="I48" s="29"/>
      <c r="J48" s="6"/>
      <c r="K48" s="27">
        <v>12614</v>
      </c>
      <c r="L48" s="28">
        <v>12242</v>
      </c>
      <c r="M48" s="28"/>
      <c r="N48" s="28">
        <v>12334</v>
      </c>
      <c r="O48" s="28"/>
      <c r="P48" s="28">
        <v>12591</v>
      </c>
      <c r="Q48" s="29"/>
      <c r="R48" s="6"/>
      <c r="S48" s="27">
        <v>14868</v>
      </c>
      <c r="T48" s="38">
        <v>15150</v>
      </c>
      <c r="U48" s="28"/>
      <c r="V48" s="36">
        <v>11763</v>
      </c>
      <c r="W48" s="28"/>
      <c r="X48" s="38">
        <v>11139</v>
      </c>
      <c r="Y48" s="29"/>
      <c r="Z48" s="30"/>
      <c r="AA48" s="27">
        <v>18190</v>
      </c>
      <c r="AB48" s="38">
        <v>15962</v>
      </c>
      <c r="AC48" s="28"/>
      <c r="AD48" s="36">
        <v>15768</v>
      </c>
      <c r="AE48" s="28"/>
      <c r="AF48" s="38">
        <v>14570</v>
      </c>
      <c r="AG48" s="29"/>
      <c r="AH48" s="30"/>
      <c r="AI48" s="27">
        <v>1201</v>
      </c>
      <c r="AJ48" s="38">
        <v>400</v>
      </c>
      <c r="AK48" s="28"/>
      <c r="AL48" s="36">
        <v>3</v>
      </c>
      <c r="AM48" s="28"/>
      <c r="AN48" s="38">
        <v>0</v>
      </c>
      <c r="AO48" s="29"/>
      <c r="AP48" s="30"/>
      <c r="AQ48" s="27">
        <v>5302</v>
      </c>
      <c r="AR48" s="38">
        <v>3970</v>
      </c>
      <c r="AS48" s="28"/>
      <c r="AT48" s="36">
        <v>3177</v>
      </c>
      <c r="AU48" s="28"/>
      <c r="AV48" s="38">
        <v>1269</v>
      </c>
      <c r="AW48" s="29"/>
      <c r="AX48" s="30"/>
      <c r="AY48" s="27">
        <v>11485</v>
      </c>
      <c r="AZ48" s="38">
        <v>10693</v>
      </c>
      <c r="BA48" s="28"/>
      <c r="BB48" s="36">
        <v>7923</v>
      </c>
      <c r="BC48" s="28"/>
      <c r="BD48" s="38">
        <v>5779</v>
      </c>
      <c r="BE48" s="29"/>
      <c r="BF48" s="30"/>
      <c r="BG48" s="27">
        <v>18957</v>
      </c>
      <c r="BH48" s="38">
        <v>16993</v>
      </c>
      <c r="BI48" s="28"/>
      <c r="BJ48" s="36">
        <v>17936</v>
      </c>
      <c r="BK48" s="28"/>
      <c r="BL48" s="38">
        <v>16124</v>
      </c>
      <c r="BM48" s="29"/>
      <c r="BN48" s="30"/>
      <c r="BO48" s="27">
        <v>23026</v>
      </c>
      <c r="BP48" s="38">
        <v>23031</v>
      </c>
      <c r="BQ48" s="28"/>
      <c r="BR48" s="36">
        <v>21065</v>
      </c>
      <c r="BS48" s="28"/>
      <c r="BT48" s="38">
        <v>18859</v>
      </c>
      <c r="BU48" s="29"/>
      <c r="BV48" s="30"/>
      <c r="BW48" s="27">
        <v>21586</v>
      </c>
      <c r="BX48" s="28">
        <v>23713</v>
      </c>
      <c r="BY48" s="28"/>
      <c r="BZ48" s="28">
        <v>24365</v>
      </c>
      <c r="CA48" s="28"/>
      <c r="CB48" s="28">
        <v>24732</v>
      </c>
      <c r="CC48" s="29"/>
      <c r="CD48" s="30"/>
      <c r="CE48" s="27">
        <v>0</v>
      </c>
      <c r="CF48" s="28">
        <v>0</v>
      </c>
      <c r="CG48" s="28"/>
      <c r="CH48" s="28">
        <v>11790</v>
      </c>
      <c r="CI48" s="20"/>
      <c r="CJ48" s="20">
        <v>21452</v>
      </c>
      <c r="CK48" s="29"/>
    </row>
    <row r="49" spans="1:89" ht="15" customHeight="1" outlineLevel="1" x14ac:dyDescent="0.25">
      <c r="A49" s="5" t="s">
        <v>28</v>
      </c>
      <c r="B49" s="28"/>
      <c r="C49" s="27">
        <v>6535</v>
      </c>
      <c r="D49" s="28">
        <v>6311</v>
      </c>
      <c r="E49" s="28"/>
      <c r="F49" s="28">
        <v>0</v>
      </c>
      <c r="G49" s="28">
        <v>0</v>
      </c>
      <c r="H49" s="28"/>
      <c r="I49" s="29"/>
      <c r="J49" s="6"/>
      <c r="K49" s="27">
        <v>6818</v>
      </c>
      <c r="L49" s="28">
        <v>6950</v>
      </c>
      <c r="M49" s="28"/>
      <c r="N49" s="28">
        <v>10179</v>
      </c>
      <c r="O49" s="28"/>
      <c r="P49" s="28">
        <v>8566</v>
      </c>
      <c r="Q49" s="29"/>
      <c r="R49" s="6"/>
      <c r="S49" s="27">
        <v>6169</v>
      </c>
      <c r="T49" s="38">
        <v>5969</v>
      </c>
      <c r="U49" s="28"/>
      <c r="V49" s="36">
        <v>7144</v>
      </c>
      <c r="W49" s="28"/>
      <c r="X49" s="38">
        <v>7047</v>
      </c>
      <c r="Y49" s="29"/>
      <c r="Z49" s="30"/>
      <c r="AA49" s="27">
        <v>8469</v>
      </c>
      <c r="AB49" s="38">
        <v>8110</v>
      </c>
      <c r="AC49" s="28"/>
      <c r="AD49" s="36">
        <v>9252</v>
      </c>
      <c r="AE49" s="28"/>
      <c r="AF49" s="38">
        <v>4853</v>
      </c>
      <c r="AG49" s="29"/>
      <c r="AH49" s="30"/>
      <c r="AI49" s="27">
        <v>7661</v>
      </c>
      <c r="AJ49" s="38">
        <v>8052</v>
      </c>
      <c r="AK49" s="28"/>
      <c r="AL49" s="36">
        <v>7996</v>
      </c>
      <c r="AM49" s="28"/>
      <c r="AN49" s="38">
        <v>7509</v>
      </c>
      <c r="AO49" s="29"/>
      <c r="AP49" s="30"/>
      <c r="AQ49" s="27">
        <v>7613</v>
      </c>
      <c r="AR49" s="38">
        <v>8443</v>
      </c>
      <c r="AS49" s="28"/>
      <c r="AT49" s="36">
        <v>8353</v>
      </c>
      <c r="AU49" s="28"/>
      <c r="AV49" s="38">
        <v>7692</v>
      </c>
      <c r="AW49" s="29"/>
      <c r="AX49" s="30"/>
      <c r="AY49" s="27">
        <v>7286</v>
      </c>
      <c r="AZ49" s="38">
        <v>7106</v>
      </c>
      <c r="BA49" s="28"/>
      <c r="BB49" s="36">
        <v>6773</v>
      </c>
      <c r="BC49" s="28"/>
      <c r="BD49" s="38">
        <v>7458</v>
      </c>
      <c r="BE49" s="29"/>
      <c r="BF49" s="30"/>
      <c r="BG49" s="27">
        <v>3952</v>
      </c>
      <c r="BH49" s="38">
        <v>5084</v>
      </c>
      <c r="BI49" s="28"/>
      <c r="BJ49" s="36">
        <v>5443</v>
      </c>
      <c r="BK49" s="28"/>
      <c r="BL49" s="38">
        <v>6696</v>
      </c>
      <c r="BM49" s="29"/>
      <c r="BN49" s="30"/>
      <c r="BO49" s="27">
        <v>4335</v>
      </c>
      <c r="BP49" s="38">
        <v>4397</v>
      </c>
      <c r="BQ49" s="28"/>
      <c r="BR49" s="36">
        <v>7166</v>
      </c>
      <c r="BS49" s="28"/>
      <c r="BT49" s="38">
        <v>5877</v>
      </c>
      <c r="BU49" s="29"/>
      <c r="BV49" s="30"/>
      <c r="BW49" s="27">
        <v>3413</v>
      </c>
      <c r="BX49" s="28">
        <v>4000</v>
      </c>
      <c r="BY49" s="28"/>
      <c r="BZ49" s="28">
        <v>3834</v>
      </c>
      <c r="CA49" s="28"/>
      <c r="CB49" s="28">
        <v>5797</v>
      </c>
      <c r="CC49" s="29"/>
      <c r="CD49" s="30"/>
      <c r="CE49" s="27">
        <v>0</v>
      </c>
      <c r="CF49" s="28">
        <v>0</v>
      </c>
      <c r="CG49" s="28"/>
      <c r="CH49" s="28">
        <v>3308</v>
      </c>
      <c r="CI49" s="20"/>
      <c r="CJ49" s="28">
        <v>3906</v>
      </c>
      <c r="CK49" s="29"/>
    </row>
    <row r="50" spans="1:89" s="14" customFormat="1" x14ac:dyDescent="0.25">
      <c r="A50" s="16" t="s">
        <v>29</v>
      </c>
      <c r="B50" s="20"/>
      <c r="C50" s="25">
        <v>18526</v>
      </c>
      <c r="D50" s="20">
        <v>17553</v>
      </c>
      <c r="E50" s="20"/>
      <c r="F50" s="20">
        <v>0</v>
      </c>
      <c r="G50" s="20">
        <v>0</v>
      </c>
      <c r="H50" s="20"/>
      <c r="I50" s="21"/>
      <c r="J50" s="12"/>
      <c r="K50" s="25">
        <v>19432</v>
      </c>
      <c r="L50" s="20">
        <v>19192</v>
      </c>
      <c r="M50" s="20"/>
      <c r="N50" s="20">
        <v>22513</v>
      </c>
      <c r="O50" s="20"/>
      <c r="P50" s="20">
        <v>21157</v>
      </c>
      <c r="Q50" s="21"/>
      <c r="R50" s="12"/>
      <c r="S50" s="25">
        <v>21037</v>
      </c>
      <c r="T50" s="39">
        <v>21119</v>
      </c>
      <c r="U50" s="20"/>
      <c r="V50" s="39">
        <v>18907</v>
      </c>
      <c r="W50" s="20"/>
      <c r="X50" s="39">
        <v>18186</v>
      </c>
      <c r="Y50" s="21"/>
      <c r="Z50" s="26"/>
      <c r="AA50" s="25">
        <v>26659</v>
      </c>
      <c r="AB50" s="39">
        <v>24072</v>
      </c>
      <c r="AC50" s="20"/>
      <c r="AD50" s="39">
        <v>25020</v>
      </c>
      <c r="AE50" s="20"/>
      <c r="AF50" s="39">
        <v>19423</v>
      </c>
      <c r="AG50" s="21"/>
      <c r="AH50" s="26"/>
      <c r="AI50" s="25">
        <v>8862</v>
      </c>
      <c r="AJ50" s="39">
        <v>8452</v>
      </c>
      <c r="AK50" s="20"/>
      <c r="AL50" s="39">
        <v>7999</v>
      </c>
      <c r="AM50" s="20"/>
      <c r="AN50" s="39">
        <v>7509</v>
      </c>
      <c r="AO50" s="21"/>
      <c r="AP50" s="26"/>
      <c r="AQ50" s="25">
        <v>12915</v>
      </c>
      <c r="AR50" s="39">
        <v>12413</v>
      </c>
      <c r="AS50" s="20"/>
      <c r="AT50" s="39">
        <v>11530</v>
      </c>
      <c r="AU50" s="20"/>
      <c r="AV50" s="39">
        <v>8961</v>
      </c>
      <c r="AW50" s="21"/>
      <c r="AX50" s="26"/>
      <c r="AY50" s="25">
        <v>18771</v>
      </c>
      <c r="AZ50" s="39">
        <v>17799</v>
      </c>
      <c r="BA50" s="20"/>
      <c r="BB50" s="39">
        <v>14696</v>
      </c>
      <c r="BC50" s="20"/>
      <c r="BD50" s="39">
        <v>13237</v>
      </c>
      <c r="BE50" s="21"/>
      <c r="BF50" s="26"/>
      <c r="BG50" s="25">
        <v>22909</v>
      </c>
      <c r="BH50" s="39">
        <v>22077</v>
      </c>
      <c r="BI50" s="20"/>
      <c r="BJ50" s="39">
        <v>23379</v>
      </c>
      <c r="BK50" s="20"/>
      <c r="BL50" s="39">
        <v>22820</v>
      </c>
      <c r="BM50" s="21"/>
      <c r="BN50" s="26"/>
      <c r="BO50" s="25">
        <v>27361</v>
      </c>
      <c r="BP50" s="39">
        <v>27428</v>
      </c>
      <c r="BQ50" s="20"/>
      <c r="BR50" s="39">
        <v>28231</v>
      </c>
      <c r="BS50" s="20"/>
      <c r="BT50" s="39">
        <v>24736</v>
      </c>
      <c r="BU50" s="21"/>
      <c r="BV50" s="26"/>
      <c r="BW50" s="25">
        <v>24999</v>
      </c>
      <c r="BX50" s="20">
        <v>27713</v>
      </c>
      <c r="BY50" s="20"/>
      <c r="BZ50" s="20">
        <v>28199</v>
      </c>
      <c r="CA50" s="20"/>
      <c r="CB50" s="20">
        <v>30529</v>
      </c>
      <c r="CC50" s="21"/>
      <c r="CD50" s="26"/>
      <c r="CE50" s="25">
        <v>0</v>
      </c>
      <c r="CF50" s="20">
        <v>0</v>
      </c>
      <c r="CG50" s="20"/>
      <c r="CH50" s="20">
        <v>15098</v>
      </c>
      <c r="CI50" s="20"/>
      <c r="CJ50" s="20">
        <v>25358</v>
      </c>
      <c r="CK50" s="21"/>
    </row>
    <row r="51" spans="1:89" s="14" customFormat="1" ht="8.25" customHeight="1" x14ac:dyDescent="0.25">
      <c r="A51" s="16"/>
      <c r="B51" s="20"/>
      <c r="C51" s="25"/>
      <c r="D51" s="20"/>
      <c r="E51" s="20"/>
      <c r="F51" s="20"/>
      <c r="G51" s="20"/>
      <c r="H51" s="20"/>
      <c r="I51" s="21"/>
      <c r="J51" s="12"/>
      <c r="K51" s="25"/>
      <c r="L51" s="20"/>
      <c r="M51" s="20"/>
      <c r="N51" s="20"/>
      <c r="O51" s="20"/>
      <c r="P51" s="20"/>
      <c r="Q51" s="21"/>
      <c r="R51" s="12"/>
      <c r="S51" s="25"/>
      <c r="T51" s="39"/>
      <c r="U51" s="20"/>
      <c r="V51" s="39"/>
      <c r="W51" s="20"/>
      <c r="X51" s="39"/>
      <c r="Y51" s="21"/>
      <c r="Z51" s="26"/>
      <c r="AA51" s="25"/>
      <c r="AB51" s="39"/>
      <c r="AC51" s="20"/>
      <c r="AD51" s="39"/>
      <c r="AE51" s="20"/>
      <c r="AF51" s="39"/>
      <c r="AG51" s="21"/>
      <c r="AH51" s="26"/>
      <c r="AI51" s="25"/>
      <c r="AJ51" s="39"/>
      <c r="AK51" s="20"/>
      <c r="AL51" s="39"/>
      <c r="AM51" s="20"/>
      <c r="AN51" s="39"/>
      <c r="AO51" s="21"/>
      <c r="AP51" s="26"/>
      <c r="AQ51" s="25"/>
      <c r="AR51" s="39"/>
      <c r="AS51" s="20"/>
      <c r="AT51" s="39"/>
      <c r="AU51" s="20"/>
      <c r="AV51" s="39"/>
      <c r="AW51" s="21"/>
      <c r="AX51" s="26"/>
      <c r="AY51" s="25"/>
      <c r="AZ51" s="39"/>
      <c r="BA51" s="20"/>
      <c r="BB51" s="39"/>
      <c r="BC51" s="20"/>
      <c r="BD51" s="39"/>
      <c r="BE51" s="21"/>
      <c r="BF51" s="26"/>
      <c r="BG51" s="25"/>
      <c r="BH51" s="39"/>
      <c r="BI51" s="20"/>
      <c r="BJ51" s="39"/>
      <c r="BK51" s="20"/>
      <c r="BL51" s="39"/>
      <c r="BM51" s="21"/>
      <c r="BN51" s="26"/>
      <c r="BO51" s="25"/>
      <c r="BP51" s="39"/>
      <c r="BQ51" s="20"/>
      <c r="BR51" s="39"/>
      <c r="BS51" s="20"/>
      <c r="BT51" s="39"/>
      <c r="BU51" s="21"/>
      <c r="BV51" s="26"/>
      <c r="BW51" s="25"/>
      <c r="BX51" s="20"/>
      <c r="BY51" s="20"/>
      <c r="BZ51" s="20"/>
      <c r="CA51" s="20"/>
      <c r="CB51" s="20"/>
      <c r="CC51" s="21"/>
      <c r="CD51" s="26"/>
      <c r="CE51" s="25"/>
      <c r="CF51" s="20"/>
      <c r="CG51" s="20"/>
      <c r="CH51" s="20"/>
      <c r="CI51" s="20"/>
      <c r="CJ51" s="20"/>
      <c r="CK51" s="21"/>
    </row>
    <row r="52" spans="1:89" s="14" customFormat="1" x14ac:dyDescent="0.25">
      <c r="A52" s="16" t="s">
        <v>36</v>
      </c>
      <c r="B52" s="20"/>
      <c r="C52" s="25">
        <v>9859</v>
      </c>
      <c r="D52" s="20">
        <v>10866</v>
      </c>
      <c r="E52" s="20"/>
      <c r="F52" s="20">
        <v>0</v>
      </c>
      <c r="G52" s="20">
        <v>0</v>
      </c>
      <c r="H52" s="20"/>
      <c r="I52" s="21"/>
      <c r="J52" s="12"/>
      <c r="K52" s="25">
        <v>11450</v>
      </c>
      <c r="L52" s="20">
        <v>12166</v>
      </c>
      <c r="M52" s="20"/>
      <c r="N52" s="20">
        <v>13002</v>
      </c>
      <c r="O52" s="20"/>
      <c r="P52" s="20">
        <v>10614</v>
      </c>
      <c r="Q52" s="21"/>
      <c r="R52" s="12"/>
      <c r="S52" s="25">
        <v>19785</v>
      </c>
      <c r="T52" s="39">
        <v>20005</v>
      </c>
      <c r="U52" s="20"/>
      <c r="V52" s="39">
        <v>20229</v>
      </c>
      <c r="W52" s="20"/>
      <c r="X52" s="39">
        <v>20414</v>
      </c>
      <c r="Y52" s="21"/>
      <c r="Z52" s="26"/>
      <c r="AA52" s="25">
        <v>19852</v>
      </c>
      <c r="AB52" s="39">
        <v>19625</v>
      </c>
      <c r="AC52" s="20"/>
      <c r="AD52" s="39">
        <v>19832</v>
      </c>
      <c r="AE52" s="20"/>
      <c r="AF52" s="39">
        <v>19366</v>
      </c>
      <c r="AG52" s="21"/>
      <c r="AH52" s="26"/>
      <c r="AI52" s="25">
        <v>34899</v>
      </c>
      <c r="AJ52" s="39">
        <v>35645</v>
      </c>
      <c r="AK52" s="20"/>
      <c r="AL52" s="39">
        <v>36549</v>
      </c>
      <c r="AM52" s="20"/>
      <c r="AN52" s="39">
        <v>36977</v>
      </c>
      <c r="AO52" s="21"/>
      <c r="AP52" s="26"/>
      <c r="AQ52" s="25">
        <v>32197</v>
      </c>
      <c r="AR52" s="39">
        <v>32841</v>
      </c>
      <c r="AS52" s="20"/>
      <c r="AT52" s="39">
        <v>33785</v>
      </c>
      <c r="AU52" s="20"/>
      <c r="AV52" s="39">
        <v>34369</v>
      </c>
      <c r="AW52" s="21"/>
      <c r="AX52" s="26"/>
      <c r="AY52" s="25">
        <v>27650</v>
      </c>
      <c r="AZ52" s="39">
        <v>29700</v>
      </c>
      <c r="BA52" s="20"/>
      <c r="BB52" s="39">
        <v>31234</v>
      </c>
      <c r="BC52" s="20"/>
      <c r="BD52" s="39">
        <v>31461</v>
      </c>
      <c r="BE52" s="21"/>
      <c r="BF52" s="26"/>
      <c r="BG52" s="25">
        <v>25870</v>
      </c>
      <c r="BH52" s="39">
        <v>26757</v>
      </c>
      <c r="BI52" s="20"/>
      <c r="BJ52" s="39">
        <v>24523</v>
      </c>
      <c r="BK52" s="20"/>
      <c r="BL52" s="39">
        <v>26345</v>
      </c>
      <c r="BM52" s="21"/>
      <c r="BN52" s="26"/>
      <c r="BO52" s="25">
        <v>22119</v>
      </c>
      <c r="BP52" s="39">
        <v>22771</v>
      </c>
      <c r="BQ52" s="20"/>
      <c r="BR52" s="39">
        <v>24884</v>
      </c>
      <c r="BS52" s="20"/>
      <c r="BT52" s="39">
        <v>25268</v>
      </c>
      <c r="BU52" s="21"/>
      <c r="BV52" s="26"/>
      <c r="BW52" s="25">
        <v>19190</v>
      </c>
      <c r="BX52" s="20">
        <v>21402</v>
      </c>
      <c r="BY52" s="20"/>
      <c r="BZ52" s="20">
        <v>21687</v>
      </c>
      <c r="CA52" s="20"/>
      <c r="CB52" s="20">
        <v>22194</v>
      </c>
      <c r="CC52" s="21"/>
      <c r="CD52" s="26"/>
      <c r="CE52" s="25">
        <v>0</v>
      </c>
      <c r="CF52" s="20">
        <v>0</v>
      </c>
      <c r="CG52" s="20"/>
      <c r="CH52" s="20">
        <v>20062</v>
      </c>
      <c r="CI52" s="20"/>
      <c r="CJ52" s="20">
        <v>19316</v>
      </c>
      <c r="CK52" s="21"/>
    </row>
    <row r="53" spans="1:89" ht="7.5" customHeight="1" x14ac:dyDescent="0.25">
      <c r="A53" s="5"/>
      <c r="B53" s="20"/>
      <c r="C53" s="25"/>
      <c r="D53" s="20"/>
      <c r="E53" s="20"/>
      <c r="F53" s="20"/>
      <c r="G53" s="20"/>
      <c r="H53" s="20"/>
      <c r="I53" s="21"/>
      <c r="J53" s="6"/>
      <c r="K53" s="25"/>
      <c r="L53" s="20"/>
      <c r="M53" s="20"/>
      <c r="N53" s="20"/>
      <c r="O53" s="20"/>
      <c r="P53" s="20"/>
      <c r="Q53" s="21"/>
      <c r="R53" s="6"/>
      <c r="S53" s="25"/>
      <c r="T53" s="36"/>
      <c r="U53" s="36"/>
      <c r="V53" s="36"/>
      <c r="W53" s="36"/>
      <c r="X53" s="36"/>
      <c r="Y53" s="37"/>
      <c r="Z53" s="6"/>
      <c r="AA53" s="25"/>
      <c r="AB53" s="36"/>
      <c r="AC53" s="36"/>
      <c r="AD53" s="36"/>
      <c r="AE53" s="36"/>
      <c r="AF53" s="36"/>
      <c r="AG53" s="37"/>
      <c r="AH53" s="6"/>
      <c r="AI53" s="25"/>
      <c r="AJ53" s="36"/>
      <c r="AK53" s="36"/>
      <c r="AL53" s="36"/>
      <c r="AM53" s="36"/>
      <c r="AN53" s="36"/>
      <c r="AO53" s="37"/>
      <c r="AP53" s="6"/>
      <c r="AQ53" s="25"/>
      <c r="AR53" s="36"/>
      <c r="AS53" s="36"/>
      <c r="AT53" s="36"/>
      <c r="AU53" s="36"/>
      <c r="AV53" s="36"/>
      <c r="AW53" s="37"/>
      <c r="AX53" s="6"/>
      <c r="AY53" s="25"/>
      <c r="AZ53" s="36"/>
      <c r="BA53" s="36"/>
      <c r="BB53" s="36"/>
      <c r="BC53" s="36"/>
      <c r="BD53" s="36"/>
      <c r="BE53" s="37"/>
      <c r="BF53" s="6"/>
      <c r="BG53" s="25"/>
      <c r="BH53" s="36"/>
      <c r="BI53" s="36"/>
      <c r="BJ53" s="36"/>
      <c r="BK53" s="36"/>
      <c r="BL53" s="36"/>
      <c r="BM53" s="37"/>
      <c r="BN53" s="6"/>
      <c r="BO53" s="25"/>
      <c r="BP53" s="36"/>
      <c r="BQ53" s="36"/>
      <c r="BR53" s="36"/>
      <c r="BS53" s="36"/>
      <c r="BT53" s="36"/>
      <c r="BU53" s="37"/>
      <c r="BV53" s="6"/>
      <c r="BW53" s="25"/>
      <c r="BX53" s="36"/>
      <c r="BY53" s="36"/>
      <c r="BZ53" s="36"/>
      <c r="CA53" s="36"/>
      <c r="CB53" s="36"/>
      <c r="CC53" s="37"/>
      <c r="CD53" s="6"/>
      <c r="CE53" s="25"/>
      <c r="CF53" s="20"/>
      <c r="CG53" s="36"/>
      <c r="CH53" s="36"/>
      <c r="CI53" s="36"/>
      <c r="CJ53" s="36"/>
      <c r="CK53" s="37"/>
    </row>
    <row r="54" spans="1:89" s="14" customFormat="1" x14ac:dyDescent="0.25">
      <c r="A54" s="16" t="s">
        <v>66</v>
      </c>
      <c r="B54" s="20"/>
      <c r="C54" s="25">
        <v>211</v>
      </c>
      <c r="D54" s="20">
        <v>298</v>
      </c>
      <c r="E54" s="20"/>
      <c r="F54" s="20">
        <v>87</v>
      </c>
      <c r="G54" s="20">
        <v>0</v>
      </c>
      <c r="H54" s="20"/>
      <c r="I54" s="21"/>
      <c r="J54" s="12"/>
      <c r="K54" s="25">
        <v>119</v>
      </c>
      <c r="L54" s="20">
        <v>550</v>
      </c>
      <c r="M54" s="20"/>
      <c r="N54" s="20">
        <v>710</v>
      </c>
      <c r="O54" s="20"/>
      <c r="P54" s="20">
        <v>927</v>
      </c>
      <c r="Q54" s="21"/>
      <c r="R54" s="12"/>
      <c r="S54" s="25">
        <v>380</v>
      </c>
      <c r="T54" s="39">
        <v>492</v>
      </c>
      <c r="U54" s="39"/>
      <c r="V54" s="39">
        <v>593</v>
      </c>
      <c r="W54" s="39"/>
      <c r="X54" s="39">
        <v>784</v>
      </c>
      <c r="Y54" s="40"/>
      <c r="Z54" s="30"/>
      <c r="AA54" s="25">
        <v>61</v>
      </c>
      <c r="AB54" s="39">
        <v>218</v>
      </c>
      <c r="AC54" s="39"/>
      <c r="AD54" s="39">
        <v>357</v>
      </c>
      <c r="AE54" s="39"/>
      <c r="AF54" s="39">
        <v>569</v>
      </c>
      <c r="AG54" s="40"/>
      <c r="AH54" s="30"/>
      <c r="AI54" s="25">
        <v>350</v>
      </c>
      <c r="AJ54" s="39">
        <v>546</v>
      </c>
      <c r="AK54" s="39"/>
      <c r="AL54" s="39">
        <v>620</v>
      </c>
      <c r="AM54" s="39"/>
      <c r="AN54" s="39">
        <v>807</v>
      </c>
      <c r="AO54" s="40"/>
      <c r="AP54" s="30"/>
      <c r="AQ54" s="25">
        <v>437</v>
      </c>
      <c r="AR54" s="39">
        <v>997</v>
      </c>
      <c r="AS54" s="39"/>
      <c r="AT54" s="39">
        <v>1317</v>
      </c>
      <c r="AU54" s="39"/>
      <c r="AV54" s="39">
        <v>1474</v>
      </c>
      <c r="AW54" s="40"/>
      <c r="AX54" s="30"/>
      <c r="AY54" s="25">
        <v>176</v>
      </c>
      <c r="AZ54" s="39">
        <v>413</v>
      </c>
      <c r="BA54" s="39"/>
      <c r="BB54" s="39">
        <v>722</v>
      </c>
      <c r="BC54" s="39"/>
      <c r="BD54" s="39">
        <v>838</v>
      </c>
      <c r="BE54" s="40"/>
      <c r="BF54" s="30"/>
      <c r="BG54" s="25">
        <v>104</v>
      </c>
      <c r="BH54" s="39">
        <v>291</v>
      </c>
      <c r="BI54" s="39"/>
      <c r="BJ54" s="39">
        <v>395</v>
      </c>
      <c r="BK54" s="39"/>
      <c r="BL54" s="39">
        <v>513</v>
      </c>
      <c r="BM54" s="40"/>
      <c r="BN54" s="30"/>
      <c r="BO54" s="25">
        <v>154</v>
      </c>
      <c r="BP54" s="39">
        <v>870</v>
      </c>
      <c r="BQ54" s="39"/>
      <c r="BR54" s="39">
        <v>1220</v>
      </c>
      <c r="BS54" s="39"/>
      <c r="BT54" s="39">
        <v>1425</v>
      </c>
      <c r="BU54" s="40"/>
      <c r="BV54" s="30"/>
      <c r="BW54" s="25">
        <v>135</v>
      </c>
      <c r="BX54" s="20">
        <v>479</v>
      </c>
      <c r="BY54" s="39"/>
      <c r="BZ54" s="20">
        <v>694</v>
      </c>
      <c r="CA54" s="39"/>
      <c r="CB54" s="20">
        <v>1521</v>
      </c>
      <c r="CC54" s="40"/>
      <c r="CD54" s="30"/>
      <c r="CE54" s="25">
        <v>0</v>
      </c>
      <c r="CF54" s="20">
        <v>0</v>
      </c>
      <c r="CG54" s="39"/>
      <c r="CH54" s="20">
        <v>157</v>
      </c>
      <c r="CI54" s="39"/>
      <c r="CJ54" s="20">
        <v>636</v>
      </c>
      <c r="CK54" s="40"/>
    </row>
    <row r="55" spans="1:89" s="14" customFormat="1" ht="7.5" customHeight="1" x14ac:dyDescent="0.25">
      <c r="A55" s="16"/>
      <c r="B55" s="20"/>
      <c r="C55" s="25"/>
      <c r="D55" s="20"/>
      <c r="E55" s="20"/>
      <c r="F55" s="20"/>
      <c r="G55" s="20"/>
      <c r="H55" s="20"/>
      <c r="I55" s="21"/>
      <c r="J55" s="12"/>
      <c r="K55" s="25"/>
      <c r="L55" s="20"/>
      <c r="M55" s="20"/>
      <c r="N55" s="20"/>
      <c r="O55" s="20"/>
      <c r="P55" s="20"/>
      <c r="Q55" s="21"/>
      <c r="R55" s="12"/>
      <c r="S55" s="25"/>
      <c r="T55" s="39"/>
      <c r="U55" s="39"/>
      <c r="V55" s="26"/>
      <c r="W55" s="39"/>
      <c r="X55" s="39"/>
      <c r="Y55" s="40"/>
      <c r="Z55" s="30"/>
      <c r="AA55" s="25"/>
      <c r="AB55" s="39"/>
      <c r="AC55" s="39"/>
      <c r="AD55" s="26"/>
      <c r="AE55" s="39"/>
      <c r="AF55" s="39"/>
      <c r="AG55" s="40"/>
      <c r="AH55" s="30"/>
      <c r="AI55" s="25"/>
      <c r="AJ55" s="39"/>
      <c r="AK55" s="39"/>
      <c r="AL55" s="26"/>
      <c r="AM55" s="39"/>
      <c r="AN55" s="39"/>
      <c r="AO55" s="40"/>
      <c r="AP55" s="30"/>
      <c r="AQ55" s="25"/>
      <c r="AR55" s="39"/>
      <c r="AS55" s="39"/>
      <c r="AT55" s="26"/>
      <c r="AU55" s="39"/>
      <c r="AV55" s="39"/>
      <c r="AW55" s="40"/>
      <c r="AX55" s="30"/>
      <c r="AY55" s="25"/>
      <c r="AZ55" s="39"/>
      <c r="BA55" s="39"/>
      <c r="BB55" s="26"/>
      <c r="BC55" s="39"/>
      <c r="BD55" s="39"/>
      <c r="BE55" s="40"/>
      <c r="BF55" s="30"/>
      <c r="BG55" s="25"/>
      <c r="BH55" s="39"/>
      <c r="BI55" s="39"/>
      <c r="BJ55" s="26"/>
      <c r="BK55" s="39"/>
      <c r="BL55" s="39"/>
      <c r="BM55" s="40"/>
      <c r="BN55" s="30"/>
      <c r="BO55" s="25"/>
      <c r="BP55" s="39"/>
      <c r="BQ55" s="39"/>
      <c r="BR55" s="26"/>
      <c r="BS55" s="39"/>
      <c r="BT55" s="39"/>
      <c r="BU55" s="40"/>
      <c r="BV55" s="30"/>
      <c r="BW55" s="25"/>
      <c r="BX55" s="39"/>
      <c r="BY55" s="39"/>
      <c r="BZ55" s="39"/>
      <c r="CA55" s="39"/>
      <c r="CB55" s="39"/>
      <c r="CC55" s="40"/>
      <c r="CD55" s="30"/>
      <c r="CE55" s="25"/>
      <c r="CF55" s="39"/>
      <c r="CG55" s="39"/>
      <c r="CH55" s="39"/>
      <c r="CI55" s="39"/>
      <c r="CJ55" s="39"/>
      <c r="CK55" s="40"/>
    </row>
    <row r="56" spans="1:89" s="14" customFormat="1" x14ac:dyDescent="0.25">
      <c r="A56" s="43" t="s">
        <v>67</v>
      </c>
      <c r="B56" s="20"/>
      <c r="C56" s="25"/>
      <c r="D56" s="20"/>
      <c r="E56" s="20"/>
      <c r="F56" s="20"/>
      <c r="G56" s="20"/>
      <c r="H56" s="20"/>
      <c r="I56" s="21"/>
      <c r="J56" s="12"/>
      <c r="K56" s="25"/>
      <c r="L56" s="20"/>
      <c r="M56" s="20"/>
      <c r="N56" s="20"/>
      <c r="O56" s="20"/>
      <c r="P56" s="20"/>
      <c r="Q56" s="21"/>
      <c r="R56" s="12"/>
      <c r="S56" s="25"/>
      <c r="T56" s="26"/>
      <c r="U56" s="39"/>
      <c r="V56" s="26"/>
      <c r="W56" s="39"/>
      <c r="X56" s="26"/>
      <c r="Y56" s="40"/>
      <c r="Z56" s="30"/>
      <c r="AA56" s="25"/>
      <c r="AB56" s="26"/>
      <c r="AC56" s="39"/>
      <c r="AD56" s="26"/>
      <c r="AE56" s="39"/>
      <c r="AF56" s="44"/>
      <c r="AG56" s="40"/>
      <c r="AH56" s="30"/>
      <c r="AI56" s="25"/>
      <c r="AJ56" s="26"/>
      <c r="AK56" s="39"/>
      <c r="AL56" s="26"/>
      <c r="AM56" s="39"/>
      <c r="AN56" s="26"/>
      <c r="AO56" s="40"/>
      <c r="AP56" s="30"/>
      <c r="AQ56" s="25"/>
      <c r="AR56" s="26"/>
      <c r="AS56" s="39"/>
      <c r="AT56" s="26"/>
      <c r="AU56" s="39"/>
      <c r="AV56" s="26"/>
      <c r="AW56" s="40"/>
      <c r="AX56" s="30"/>
      <c r="AY56" s="25"/>
      <c r="AZ56" s="26"/>
      <c r="BA56" s="39"/>
      <c r="BB56" s="26"/>
      <c r="BC56" s="39"/>
      <c r="BD56" s="26"/>
      <c r="BE56" s="40"/>
      <c r="BF56" s="30"/>
      <c r="BG56" s="25"/>
      <c r="BH56" s="26"/>
      <c r="BI56" s="39"/>
      <c r="BJ56" s="26"/>
      <c r="BK56" s="39"/>
      <c r="BL56" s="26"/>
      <c r="BM56" s="40"/>
      <c r="BN56" s="30"/>
      <c r="BO56" s="25"/>
      <c r="BP56" s="26"/>
      <c r="BQ56" s="39"/>
      <c r="BR56" s="26"/>
      <c r="BS56" s="39"/>
      <c r="BT56" s="26"/>
      <c r="BU56" s="40"/>
      <c r="BV56" s="30"/>
      <c r="BW56" s="25"/>
      <c r="BX56" s="20"/>
      <c r="BY56" s="39"/>
      <c r="BZ56" s="20"/>
      <c r="CA56" s="39"/>
      <c r="CB56" s="20"/>
      <c r="CC56" s="40"/>
      <c r="CD56" s="30"/>
      <c r="CE56" s="25"/>
      <c r="CF56" s="20"/>
      <c r="CG56" s="39"/>
      <c r="CH56" s="20"/>
      <c r="CI56" s="39"/>
      <c r="CJ56" s="20"/>
      <c r="CK56" s="40"/>
    </row>
    <row r="57" spans="1:89" s="14" customFormat="1" x14ac:dyDescent="0.25">
      <c r="A57" s="16" t="s">
        <v>68</v>
      </c>
      <c r="B57" s="20"/>
      <c r="C57" s="25"/>
      <c r="D57" s="20"/>
      <c r="E57" s="20"/>
      <c r="F57" s="20"/>
      <c r="G57" s="20"/>
      <c r="H57" s="47"/>
      <c r="I57" s="21"/>
      <c r="J57" s="12"/>
      <c r="K57" s="25"/>
      <c r="L57" s="20"/>
      <c r="M57" s="20"/>
      <c r="N57" s="20"/>
      <c r="O57" s="20"/>
      <c r="P57" s="47">
        <v>0.81299999999999994</v>
      </c>
      <c r="Q57" s="21"/>
      <c r="R57" s="12"/>
      <c r="S57" s="25"/>
      <c r="T57" s="39"/>
      <c r="U57" s="46"/>
      <c r="V57" s="26"/>
      <c r="W57" s="46"/>
      <c r="X57" s="47">
        <v>0.81299999999999994</v>
      </c>
      <c r="Y57" s="48"/>
      <c r="Z57" s="30"/>
      <c r="AA57" s="25"/>
      <c r="AB57" s="39"/>
      <c r="AC57" s="46"/>
      <c r="AD57" s="26"/>
      <c r="AE57" s="46"/>
      <c r="AF57" s="47">
        <v>0.81299999999999994</v>
      </c>
      <c r="AG57" s="48"/>
      <c r="AH57" s="30"/>
      <c r="AI57" s="25"/>
      <c r="AJ57" s="39"/>
      <c r="AK57" s="46"/>
      <c r="AL57" s="26"/>
      <c r="AM57" s="46"/>
      <c r="AN57" s="47">
        <v>0.81299999999999994</v>
      </c>
      <c r="AO57" s="48"/>
      <c r="AP57" s="30"/>
      <c r="AQ57" s="25"/>
      <c r="AR57" s="39"/>
      <c r="AS57" s="46"/>
      <c r="AT57" s="26"/>
      <c r="AU57" s="46"/>
      <c r="AV57" s="47">
        <v>0.73899999999999999</v>
      </c>
      <c r="AW57" s="48"/>
      <c r="AX57" s="30"/>
      <c r="AY57" s="25"/>
      <c r="AZ57" s="39"/>
      <c r="BA57" s="46"/>
      <c r="BB57" s="26"/>
      <c r="BC57" s="46"/>
      <c r="BD57" s="47">
        <v>0.73899999999999999</v>
      </c>
      <c r="BE57" s="48"/>
      <c r="BF57" s="30"/>
      <c r="BG57" s="25"/>
      <c r="BH57" s="39"/>
      <c r="BI57" s="46"/>
      <c r="BJ57" s="26"/>
      <c r="BK57" s="46"/>
      <c r="BL57" s="47">
        <v>0.74399999999999999</v>
      </c>
      <c r="BM57" s="48"/>
      <c r="BN57" s="30"/>
      <c r="BO57" s="25"/>
      <c r="BP57" s="39"/>
      <c r="BQ57" s="46"/>
      <c r="BR57" s="26"/>
      <c r="BS57" s="46"/>
      <c r="BT57" s="47">
        <v>0.67</v>
      </c>
      <c r="BU57" s="48"/>
      <c r="BV57" s="30"/>
      <c r="BW57" s="25"/>
      <c r="BX57" s="20"/>
      <c r="BY57" s="46"/>
      <c r="BZ57" s="20"/>
      <c r="CA57" s="46"/>
      <c r="CB57" s="47">
        <v>0.435</v>
      </c>
      <c r="CC57" s="48"/>
      <c r="CD57" s="30"/>
      <c r="CE57" s="25"/>
      <c r="CF57" s="20"/>
      <c r="CG57" s="46"/>
      <c r="CH57" s="20"/>
      <c r="CI57" s="46"/>
      <c r="CJ57" s="47">
        <v>0.47299999999999998</v>
      </c>
      <c r="CK57" s="48"/>
    </row>
    <row r="58" spans="1:89" s="14" customFormat="1" ht="15.75" thickBot="1" x14ac:dyDescent="0.3">
      <c r="A58" s="49" t="s">
        <v>69</v>
      </c>
      <c r="B58" s="51"/>
      <c r="C58" s="50"/>
      <c r="D58" s="51"/>
      <c r="E58" s="51"/>
      <c r="F58" s="51"/>
      <c r="G58" s="51"/>
      <c r="H58" s="58"/>
      <c r="I58" s="53"/>
      <c r="J58" s="54"/>
      <c r="K58" s="50"/>
      <c r="L58" s="51"/>
      <c r="M58" s="51"/>
      <c r="N58" s="51"/>
      <c r="O58" s="51"/>
      <c r="P58" s="58">
        <v>0.67300000000000004</v>
      </c>
      <c r="Q58" s="53"/>
      <c r="R58" s="54"/>
      <c r="S58" s="50"/>
      <c r="T58" s="55"/>
      <c r="U58" s="56"/>
      <c r="V58" s="57"/>
      <c r="W58" s="56"/>
      <c r="X58" s="58">
        <v>0.65400000000000003</v>
      </c>
      <c r="Y58" s="59"/>
      <c r="Z58" s="60"/>
      <c r="AA58" s="50"/>
      <c r="AB58" s="55"/>
      <c r="AC58" s="56"/>
      <c r="AD58" s="57"/>
      <c r="AE58" s="56"/>
      <c r="AF58" s="58">
        <v>0.66500000000000004</v>
      </c>
      <c r="AG58" s="59"/>
      <c r="AH58" s="60"/>
      <c r="AI58" s="50"/>
      <c r="AJ58" s="55"/>
      <c r="AK58" s="56"/>
      <c r="AL58" s="57"/>
      <c r="AM58" s="56"/>
      <c r="AN58" s="58">
        <v>0.67400000000000004</v>
      </c>
      <c r="AO58" s="59"/>
      <c r="AP58" s="60"/>
      <c r="AQ58" s="50"/>
      <c r="AR58" s="55"/>
      <c r="AS58" s="56"/>
      <c r="AT58" s="57"/>
      <c r="AU58" s="56"/>
      <c r="AV58" s="58">
        <v>0.6</v>
      </c>
      <c r="AW58" s="59"/>
      <c r="AX58" s="51"/>
      <c r="AY58" s="50"/>
      <c r="AZ58" s="55"/>
      <c r="BA58" s="56"/>
      <c r="BB58" s="57"/>
      <c r="BC58" s="56"/>
      <c r="BD58" s="58">
        <v>0.61799999999999999</v>
      </c>
      <c r="BE58" s="59"/>
      <c r="BF58" s="51"/>
      <c r="BG58" s="50"/>
      <c r="BH58" s="55"/>
      <c r="BI58" s="56"/>
      <c r="BJ58" s="57"/>
      <c r="BK58" s="56"/>
      <c r="BL58" s="58">
        <v>0.61699999999999999</v>
      </c>
      <c r="BM58" s="59"/>
      <c r="BN58" s="51"/>
      <c r="BO58" s="50"/>
      <c r="BP58" s="55"/>
      <c r="BQ58" s="56"/>
      <c r="BR58" s="57"/>
      <c r="BS58" s="56"/>
      <c r="BT58" s="58">
        <v>0.56999999999999995</v>
      </c>
      <c r="BU58" s="59"/>
      <c r="BV58" s="51"/>
      <c r="BW58" s="50"/>
      <c r="BX58" s="51"/>
      <c r="BY58" s="56"/>
      <c r="BZ58" s="51"/>
      <c r="CA58" s="56"/>
      <c r="CB58" s="56"/>
      <c r="CC58" s="59"/>
      <c r="CD58" s="51"/>
      <c r="CE58" s="50"/>
      <c r="CF58" s="51"/>
      <c r="CG58" s="56"/>
      <c r="CH58" s="51"/>
      <c r="CI58" s="56"/>
      <c r="CJ58" s="58"/>
      <c r="CK58" s="59"/>
    </row>
  </sheetData>
  <pageMargins left="0.7" right="0.7" top="0.75" bottom="0.75" header="0.3" footer="0.3"/>
  <pageSetup scale="15"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59999389629810485"/>
  </sheetPr>
  <dimension ref="A1:BK64"/>
  <sheetViews>
    <sheetView workbookViewId="0"/>
  </sheetViews>
  <sheetFormatPr defaultColWidth="9.140625" defaultRowHeight="15" outlineLevelRow="1" outlineLevelCol="1" x14ac:dyDescent="0.25"/>
  <cols>
    <col min="1" max="1" width="40.140625" style="95" customWidth="1"/>
    <col min="2" max="3" width="9" style="144" customWidth="1"/>
    <col min="4" max="4" width="9" style="95" hidden="1" customWidth="1" outlineLevel="1"/>
    <col min="5" max="5" width="9" style="95" customWidth="1" collapsed="1"/>
    <col min="6" max="6" width="9" style="95" hidden="1" customWidth="1" outlineLevel="1"/>
    <col min="7" max="7" width="9" style="95" customWidth="1" collapsed="1"/>
    <col min="8" max="8" width="9" style="95" customWidth="1"/>
    <col min="9" max="9" width="3" style="95" customWidth="1"/>
    <col min="10" max="11" width="9" style="144" customWidth="1"/>
    <col min="12" max="12" width="9" style="95" hidden="1" customWidth="1" outlineLevel="1"/>
    <col min="13" max="13" width="9" style="95" customWidth="1" collapsed="1"/>
    <col min="14" max="14" width="9" style="95" hidden="1" customWidth="1" outlineLevel="1"/>
    <col min="15" max="15" width="9" style="95" customWidth="1" collapsed="1"/>
    <col min="16" max="16" width="9" style="95" customWidth="1"/>
    <col min="17" max="17" width="3" style="95" customWidth="1"/>
    <col min="18" max="19" width="9" style="95" customWidth="1"/>
    <col min="20" max="20" width="8" style="95" hidden="1" customWidth="1" outlineLevel="1"/>
    <col min="21" max="21" width="9" style="95" customWidth="1" collapsed="1"/>
    <col min="22" max="22" width="9" style="95" hidden="1" customWidth="1" outlineLevel="1"/>
    <col min="23" max="23" width="9" style="95" customWidth="1" collapsed="1"/>
    <col min="24" max="24" width="9" style="95" customWidth="1"/>
    <col min="25" max="25" width="3" style="95" customWidth="1"/>
    <col min="26" max="27" width="9" style="95" customWidth="1"/>
    <col min="28" max="28" width="8" style="95" hidden="1" customWidth="1" outlineLevel="1"/>
    <col min="29" max="29" width="9" style="95" customWidth="1" collapsed="1"/>
    <col min="30" max="30" width="9" style="95" hidden="1" customWidth="1" outlineLevel="1"/>
    <col min="31" max="31" width="9" style="95" customWidth="1" collapsed="1"/>
    <col min="32" max="32" width="9" style="95" customWidth="1"/>
    <col min="33" max="33" width="3" style="95" customWidth="1"/>
    <col min="34" max="35" width="9" style="95" customWidth="1"/>
    <col min="36" max="36" width="8" style="95" hidden="1" customWidth="1" outlineLevel="1"/>
    <col min="37" max="37" width="9" style="95" customWidth="1" collapsed="1"/>
    <col min="38" max="38" width="9" style="95" hidden="1" customWidth="1" outlineLevel="1"/>
    <col min="39" max="39" width="9" style="95" customWidth="1" collapsed="1"/>
    <col min="40" max="40" width="9" style="95" customWidth="1"/>
    <col min="41" max="41" width="3" style="95" customWidth="1"/>
    <col min="42" max="43" width="9" style="95" customWidth="1"/>
    <col min="44" max="44" width="8" style="95" hidden="1" customWidth="1" outlineLevel="1"/>
    <col min="45" max="45" width="9" style="95" customWidth="1" collapsed="1"/>
    <col min="46" max="46" width="9" style="95" hidden="1" customWidth="1" outlineLevel="1"/>
    <col min="47" max="47" width="9" style="95" customWidth="1" collapsed="1"/>
    <col min="48" max="48" width="9" style="95" customWidth="1"/>
    <col min="49" max="49" width="3" style="95" customWidth="1"/>
    <col min="50" max="51" width="9" style="95" customWidth="1"/>
    <col min="52" max="52" width="8" style="95" hidden="1" customWidth="1" outlineLevel="1"/>
    <col min="53" max="53" width="9" style="95" customWidth="1" collapsed="1"/>
    <col min="54" max="54" width="9" style="95" hidden="1" customWidth="1" outlineLevel="1"/>
    <col min="55" max="55" width="9" style="95" customWidth="1" collapsed="1"/>
    <col min="56" max="56" width="9" style="95" customWidth="1"/>
    <col min="57" max="63" width="9" style="95" hidden="1" customWidth="1"/>
    <col min="64" max="16384" width="9.140625" style="95"/>
  </cols>
  <sheetData>
    <row r="1" spans="1:63" x14ac:dyDescent="0.25">
      <c r="A1" s="202" t="s">
        <v>137</v>
      </c>
      <c r="B1" s="224">
        <v>80.400000000000006</v>
      </c>
      <c r="C1" s="93"/>
      <c r="D1" s="92"/>
      <c r="E1" s="92"/>
      <c r="F1" s="92"/>
      <c r="G1" s="92"/>
      <c r="H1" s="92"/>
      <c r="I1" s="92"/>
      <c r="J1" s="93"/>
      <c r="K1" s="93"/>
      <c r="L1" s="92"/>
      <c r="M1" s="92"/>
      <c r="N1" s="92"/>
      <c r="O1" s="92"/>
      <c r="P1" s="92"/>
      <c r="Q1" s="77"/>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row>
    <row r="2" spans="1:63" x14ac:dyDescent="0.25">
      <c r="A2" s="5" t="s">
        <v>42</v>
      </c>
      <c r="B2" s="223">
        <v>16.8</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row>
    <row r="3" spans="1:63" ht="15" customHeight="1" x14ac:dyDescent="0.25">
      <c r="A3" s="5" t="s">
        <v>43</v>
      </c>
      <c r="B3" s="223">
        <v>7.7</v>
      </c>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row>
    <row r="4" spans="1:63" ht="15" customHeight="1" x14ac:dyDescent="0.25">
      <c r="A4" s="5" t="s">
        <v>44</v>
      </c>
      <c r="B4" s="223">
        <v>55.9</v>
      </c>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row>
    <row r="5" spans="1:63" s="100" customFormat="1" ht="15" customHeight="1" x14ac:dyDescent="0.25">
      <c r="A5" s="5"/>
      <c r="B5" s="223"/>
      <c r="C5" s="97"/>
      <c r="D5" s="97"/>
      <c r="E5" s="97"/>
      <c r="F5" s="97"/>
      <c r="G5" s="97"/>
      <c r="H5" s="97"/>
      <c r="I5" s="89"/>
      <c r="J5" s="97"/>
      <c r="K5" s="97"/>
      <c r="L5" s="97"/>
      <c r="M5" s="97"/>
      <c r="N5" s="97"/>
      <c r="O5" s="97"/>
      <c r="P5" s="97"/>
      <c r="Q5" s="89"/>
      <c r="R5" s="97"/>
      <c r="S5" s="97"/>
      <c r="T5" s="97"/>
      <c r="U5" s="97"/>
      <c r="V5" s="97"/>
      <c r="W5" s="97"/>
      <c r="X5" s="97"/>
      <c r="Y5" s="89"/>
      <c r="Z5" s="97"/>
      <c r="AA5" s="97"/>
      <c r="AB5" s="97"/>
      <c r="AC5" s="97"/>
      <c r="AD5" s="89"/>
      <c r="AE5" s="97"/>
      <c r="AF5" s="97"/>
      <c r="AG5" s="89"/>
      <c r="AH5" s="97"/>
      <c r="AI5" s="97"/>
      <c r="AJ5" s="97"/>
      <c r="AK5" s="97"/>
      <c r="AL5" s="89"/>
      <c r="AM5" s="97"/>
      <c r="AN5" s="97"/>
      <c r="AO5" s="89"/>
      <c r="AP5" s="97"/>
      <c r="AQ5" s="97"/>
      <c r="AR5" s="97"/>
      <c r="AS5" s="97"/>
      <c r="AT5" s="89"/>
      <c r="AU5" s="97"/>
      <c r="AV5" s="97"/>
      <c r="AW5" s="89"/>
      <c r="AX5" s="97"/>
      <c r="AY5" s="97"/>
      <c r="AZ5" s="97"/>
      <c r="BA5" s="97"/>
      <c r="BB5" s="89"/>
      <c r="BC5" s="97"/>
      <c r="BD5" s="97"/>
      <c r="BE5" s="97"/>
      <c r="BF5" s="97"/>
      <c r="BG5" s="97"/>
      <c r="BH5" s="97"/>
      <c r="BI5" s="97"/>
      <c r="BJ5" s="97"/>
      <c r="BK5" s="97"/>
    </row>
    <row r="6" spans="1:63" s="100" customFormat="1" ht="15" customHeight="1" x14ac:dyDescent="0.25">
      <c r="A6" s="5" t="s">
        <v>138</v>
      </c>
      <c r="B6" s="223">
        <v>4.0999999999999996</v>
      </c>
      <c r="C6" s="97"/>
      <c r="D6" s="97"/>
      <c r="E6" s="97"/>
      <c r="F6" s="97"/>
      <c r="G6" s="101"/>
      <c r="H6" s="97"/>
      <c r="I6" s="89"/>
      <c r="J6" s="97"/>
      <c r="K6" s="97"/>
      <c r="L6" s="97"/>
      <c r="M6" s="97"/>
      <c r="N6" s="97"/>
      <c r="O6" s="97"/>
      <c r="P6" s="97"/>
      <c r="Q6" s="89"/>
      <c r="R6" s="97"/>
      <c r="S6" s="97"/>
      <c r="T6" s="97"/>
      <c r="U6" s="97"/>
      <c r="V6" s="97"/>
      <c r="W6" s="97"/>
      <c r="X6" s="97"/>
      <c r="Y6" s="89"/>
      <c r="Z6" s="97"/>
      <c r="AA6" s="97"/>
      <c r="AB6" s="97"/>
      <c r="AC6" s="97"/>
      <c r="AD6" s="89"/>
      <c r="AE6" s="97"/>
      <c r="AF6" s="97"/>
      <c r="AG6" s="89"/>
      <c r="AH6" s="97"/>
      <c r="AI6" s="97"/>
      <c r="AJ6" s="97"/>
      <c r="AK6" s="97"/>
      <c r="AL6" s="89"/>
      <c r="AM6" s="97"/>
      <c r="AN6" s="97"/>
      <c r="AO6" s="89"/>
      <c r="AP6" s="97"/>
      <c r="AQ6" s="97"/>
      <c r="AR6" s="97"/>
      <c r="AS6" s="97"/>
      <c r="AT6" s="89"/>
      <c r="AU6" s="97"/>
      <c r="AV6" s="97"/>
      <c r="AW6" s="89"/>
      <c r="AX6" s="97"/>
      <c r="AY6" s="97"/>
      <c r="AZ6" s="97"/>
      <c r="BA6" s="97"/>
      <c r="BB6" s="89"/>
      <c r="BC6" s="97"/>
      <c r="BD6" s="97"/>
      <c r="BE6" s="97"/>
      <c r="BF6" s="97"/>
      <c r="BG6" s="97"/>
      <c r="BH6" s="97"/>
      <c r="BI6" s="97"/>
      <c r="BJ6" s="97"/>
      <c r="BK6" s="97"/>
    </row>
    <row r="7" spans="1:63" s="100" customFormat="1" x14ac:dyDescent="0.25">
      <c r="A7" s="42" t="s">
        <v>139</v>
      </c>
      <c r="B7" s="223">
        <v>-50.7</v>
      </c>
      <c r="C7" s="97"/>
      <c r="D7" s="97"/>
      <c r="E7" s="97"/>
      <c r="F7" s="97"/>
      <c r="G7" s="97"/>
      <c r="H7" s="97"/>
      <c r="I7" s="89"/>
      <c r="J7" s="97"/>
      <c r="K7" s="97"/>
      <c r="L7" s="97"/>
      <c r="M7" s="97"/>
      <c r="N7" s="97"/>
      <c r="O7" s="97"/>
      <c r="P7" s="97"/>
      <c r="Q7" s="89"/>
      <c r="R7" s="97"/>
      <c r="S7" s="97"/>
      <c r="T7" s="97"/>
      <c r="U7" s="97"/>
      <c r="V7" s="97"/>
      <c r="W7" s="97"/>
      <c r="X7" s="97"/>
      <c r="Y7" s="89"/>
      <c r="Z7" s="97"/>
      <c r="AA7" s="97"/>
      <c r="AB7" s="97"/>
      <c r="AC7" s="97"/>
      <c r="AD7" s="89"/>
      <c r="AE7" s="97"/>
      <c r="AF7" s="97"/>
      <c r="AG7" s="89"/>
      <c r="AH7" s="97"/>
      <c r="AI7" s="97"/>
      <c r="AJ7" s="97"/>
      <c r="AK7" s="97"/>
      <c r="AL7" s="89"/>
      <c r="AM7" s="97"/>
      <c r="AN7" s="97"/>
      <c r="AO7" s="89"/>
      <c r="AP7" s="97"/>
      <c r="AQ7" s="97"/>
      <c r="AR7" s="97"/>
      <c r="AS7" s="97"/>
      <c r="AT7" s="89"/>
      <c r="AU7" s="97"/>
      <c r="AV7" s="97"/>
      <c r="AW7" s="89"/>
      <c r="AX7" s="97"/>
      <c r="AY7" s="97"/>
      <c r="AZ7" s="97"/>
      <c r="BA7" s="97"/>
      <c r="BB7" s="89"/>
      <c r="BC7" s="97"/>
      <c r="BD7" s="97"/>
      <c r="BE7" s="97"/>
      <c r="BF7" s="97"/>
      <c r="BG7" s="97"/>
      <c r="BH7" s="97"/>
      <c r="BI7" s="97"/>
      <c r="BJ7" s="97"/>
      <c r="BK7" s="97"/>
    </row>
    <row r="8" spans="1:63" s="100" customFormat="1" x14ac:dyDescent="0.25">
      <c r="A8" s="42" t="s">
        <v>140</v>
      </c>
      <c r="B8" s="223">
        <v>67</v>
      </c>
      <c r="C8" s="97"/>
      <c r="D8" s="97"/>
      <c r="E8" s="97"/>
      <c r="F8" s="97"/>
      <c r="G8" s="97"/>
      <c r="H8" s="97"/>
      <c r="I8" s="89"/>
      <c r="J8" s="97"/>
      <c r="K8" s="97"/>
      <c r="L8" s="97"/>
      <c r="M8" s="97"/>
      <c r="N8" s="97"/>
      <c r="O8" s="97"/>
      <c r="P8" s="97"/>
      <c r="Q8" s="89"/>
      <c r="R8" s="97"/>
      <c r="S8" s="97"/>
      <c r="T8" s="97"/>
      <c r="U8" s="97"/>
      <c r="V8" s="97"/>
      <c r="W8" s="97"/>
      <c r="X8" s="97"/>
      <c r="Y8" s="89"/>
      <c r="Z8" s="97"/>
      <c r="AA8" s="97"/>
      <c r="AB8" s="97"/>
      <c r="AC8" s="97"/>
      <c r="AD8" s="89"/>
      <c r="AE8" s="97"/>
      <c r="AF8" s="97"/>
      <c r="AG8" s="89"/>
      <c r="AH8" s="97"/>
      <c r="AI8" s="97"/>
      <c r="AJ8" s="97"/>
      <c r="AK8" s="97"/>
      <c r="AL8" s="89"/>
      <c r="AM8" s="97"/>
      <c r="AN8" s="97"/>
      <c r="AO8" s="89"/>
      <c r="AP8" s="97"/>
      <c r="AQ8" s="97"/>
      <c r="AR8" s="97"/>
      <c r="AS8" s="97"/>
      <c r="AT8" s="89"/>
      <c r="AU8" s="97"/>
      <c r="AV8" s="97"/>
      <c r="AW8" s="89"/>
      <c r="AX8" s="97"/>
      <c r="AY8" s="97"/>
      <c r="AZ8" s="97"/>
      <c r="BA8" s="97"/>
      <c r="BB8" s="89"/>
      <c r="BC8" s="97"/>
      <c r="BD8" s="97"/>
      <c r="BE8" s="97"/>
      <c r="BF8" s="97"/>
      <c r="BG8" s="97"/>
      <c r="BH8" s="97"/>
      <c r="BI8" s="97"/>
      <c r="BJ8" s="97"/>
      <c r="BK8" s="97"/>
    </row>
    <row r="9" spans="1:63" s="100" customFormat="1" x14ac:dyDescent="0.25">
      <c r="A9" s="42"/>
      <c r="B9" s="96"/>
      <c r="C9" s="97"/>
      <c r="D9" s="97"/>
      <c r="E9" s="97"/>
      <c r="F9" s="97"/>
      <c r="G9" s="97"/>
      <c r="H9" s="97"/>
      <c r="I9" s="89"/>
      <c r="J9" s="97"/>
      <c r="K9" s="97"/>
      <c r="L9" s="97"/>
      <c r="M9" s="97"/>
      <c r="N9" s="97"/>
      <c r="O9" s="97"/>
      <c r="P9" s="97"/>
      <c r="Q9" s="89"/>
      <c r="R9" s="97"/>
      <c r="S9" s="97"/>
      <c r="T9" s="97"/>
      <c r="U9" s="97"/>
      <c r="V9" s="97"/>
      <c r="W9" s="97"/>
      <c r="X9" s="97"/>
      <c r="Y9" s="89"/>
      <c r="Z9" s="97"/>
      <c r="AA9" s="97"/>
      <c r="AB9" s="97"/>
      <c r="AC9" s="97"/>
      <c r="AD9" s="89"/>
      <c r="AE9" s="97"/>
      <c r="AF9" s="97"/>
      <c r="AG9" s="89"/>
      <c r="AH9" s="97"/>
      <c r="AI9" s="97"/>
      <c r="AJ9" s="97"/>
      <c r="AK9" s="97"/>
      <c r="AL9" s="89"/>
      <c r="AM9" s="97"/>
      <c r="AN9" s="97"/>
      <c r="AO9" s="89"/>
      <c r="AP9" s="97"/>
      <c r="AQ9" s="97"/>
      <c r="AR9" s="97"/>
      <c r="AS9" s="97"/>
      <c r="AT9" s="89"/>
      <c r="AU9" s="97"/>
      <c r="AV9" s="97"/>
      <c r="AW9" s="89"/>
      <c r="AX9" s="97"/>
      <c r="AY9" s="97"/>
      <c r="AZ9" s="97"/>
      <c r="BA9" s="97"/>
      <c r="BB9" s="89"/>
      <c r="BC9" s="97"/>
      <c r="BD9" s="97"/>
      <c r="BE9" s="97"/>
      <c r="BF9" s="97"/>
      <c r="BG9" s="97"/>
      <c r="BH9" s="97"/>
      <c r="BI9" s="97"/>
      <c r="BJ9" s="97"/>
      <c r="BK9" s="97"/>
    </row>
    <row r="10" spans="1:63" s="100" customFormat="1" x14ac:dyDescent="0.25">
      <c r="A10" s="5" t="s">
        <v>149</v>
      </c>
      <c r="B10" s="207">
        <v>526.6</v>
      </c>
      <c r="C10" s="97"/>
      <c r="D10" s="97"/>
      <c r="E10" s="97"/>
      <c r="F10" s="97"/>
      <c r="G10" s="97"/>
      <c r="H10" s="97"/>
      <c r="I10" s="89"/>
      <c r="J10" s="97"/>
      <c r="K10" s="97"/>
      <c r="L10" s="97"/>
      <c r="M10" s="97"/>
      <c r="N10" s="97"/>
      <c r="O10" s="97"/>
      <c r="P10" s="97"/>
      <c r="Q10" s="89"/>
      <c r="R10" s="97"/>
      <c r="S10" s="97"/>
      <c r="T10" s="97"/>
      <c r="U10" s="97"/>
      <c r="V10" s="97"/>
      <c r="W10" s="97"/>
      <c r="X10" s="97"/>
      <c r="Y10" s="89"/>
      <c r="Z10" s="97"/>
      <c r="AA10" s="97"/>
      <c r="AB10" s="97"/>
      <c r="AC10" s="97"/>
      <c r="AD10" s="89"/>
      <c r="AE10" s="97"/>
      <c r="AF10" s="97"/>
      <c r="AG10" s="89"/>
      <c r="AH10" s="97"/>
      <c r="AI10" s="97"/>
      <c r="AJ10" s="97"/>
      <c r="AK10" s="97"/>
      <c r="AL10" s="89"/>
      <c r="AM10" s="97"/>
      <c r="AN10" s="97"/>
      <c r="AO10" s="89"/>
      <c r="AP10" s="97"/>
      <c r="AQ10" s="97"/>
      <c r="AR10" s="97"/>
      <c r="AS10" s="97"/>
      <c r="AT10" s="89"/>
      <c r="AU10" s="97"/>
      <c r="AV10" s="97"/>
      <c r="AW10" s="89"/>
      <c r="AX10" s="97"/>
      <c r="AY10" s="97"/>
      <c r="AZ10" s="97"/>
      <c r="BA10" s="97"/>
      <c r="BB10" s="89"/>
      <c r="BC10" s="97"/>
      <c r="BD10" s="97"/>
      <c r="BE10" s="97"/>
      <c r="BF10" s="97"/>
      <c r="BG10" s="97"/>
      <c r="BH10" s="97"/>
      <c r="BI10" s="97"/>
      <c r="BJ10" s="97"/>
      <c r="BK10" s="97"/>
    </row>
    <row r="11" spans="1:63" s="100" customFormat="1" x14ac:dyDescent="0.25">
      <c r="A11" s="5" t="s">
        <v>119</v>
      </c>
      <c r="B11" s="206">
        <v>61.5</v>
      </c>
      <c r="C11" s="97"/>
      <c r="D11" s="97"/>
      <c r="E11" s="97"/>
      <c r="F11" s="97"/>
      <c r="G11" s="97"/>
      <c r="H11" s="97"/>
      <c r="I11" s="89"/>
      <c r="J11" s="97"/>
      <c r="K11" s="97"/>
      <c r="L11" s="97"/>
      <c r="M11" s="97"/>
      <c r="N11" s="97"/>
      <c r="O11" s="97"/>
      <c r="P11" s="97"/>
      <c r="Q11" s="89"/>
      <c r="R11" s="97"/>
      <c r="S11" s="97"/>
      <c r="T11" s="97"/>
      <c r="U11" s="97"/>
      <c r="V11" s="97"/>
      <c r="W11" s="97"/>
      <c r="X11" s="97"/>
      <c r="Y11" s="89"/>
      <c r="Z11" s="97"/>
      <c r="AA11" s="97"/>
      <c r="AB11" s="97"/>
      <c r="AC11" s="97"/>
      <c r="AD11" s="89"/>
      <c r="AE11" s="97"/>
      <c r="AF11" s="97"/>
      <c r="AG11" s="89"/>
      <c r="AH11" s="97"/>
      <c r="AI11" s="97"/>
      <c r="AJ11" s="97"/>
      <c r="AK11" s="97"/>
      <c r="AL11" s="89"/>
      <c r="AM11" s="97"/>
      <c r="AN11" s="97"/>
      <c r="AO11" s="89"/>
      <c r="AP11" s="97"/>
      <c r="AQ11" s="97"/>
      <c r="AR11" s="97"/>
      <c r="AS11" s="97"/>
      <c r="AT11" s="89"/>
      <c r="AU11" s="97"/>
      <c r="AV11" s="97"/>
      <c r="AW11" s="89"/>
      <c r="AX11" s="97"/>
      <c r="AY11" s="97"/>
      <c r="AZ11" s="97"/>
      <c r="BA11" s="97"/>
      <c r="BB11" s="89"/>
      <c r="BC11" s="97"/>
      <c r="BD11" s="97"/>
      <c r="BE11" s="97"/>
      <c r="BF11" s="97"/>
      <c r="BG11" s="97"/>
      <c r="BH11" s="97"/>
      <c r="BI11" s="97"/>
      <c r="BJ11" s="97"/>
      <c r="BK11" s="97"/>
    </row>
    <row r="12" spans="1:63" s="100" customFormat="1" x14ac:dyDescent="0.25">
      <c r="A12" s="5" t="s">
        <v>120</v>
      </c>
      <c r="B12" s="206">
        <v>465.1</v>
      </c>
      <c r="C12" s="97"/>
      <c r="D12" s="97"/>
      <c r="E12" s="97"/>
      <c r="F12" s="97"/>
      <c r="G12" s="97"/>
      <c r="H12" s="97"/>
      <c r="I12" s="89"/>
      <c r="J12" s="97"/>
      <c r="K12" s="97"/>
      <c r="L12" s="97"/>
      <c r="M12" s="97"/>
      <c r="N12" s="97"/>
      <c r="O12" s="97"/>
      <c r="P12" s="97"/>
      <c r="Q12" s="89"/>
      <c r="R12" s="97"/>
      <c r="S12" s="97"/>
      <c r="T12" s="97"/>
      <c r="U12" s="97"/>
      <c r="V12" s="97"/>
      <c r="W12" s="97"/>
      <c r="X12" s="97"/>
      <c r="Y12" s="89"/>
      <c r="Z12" s="97"/>
      <c r="AA12" s="97"/>
      <c r="AB12" s="97"/>
      <c r="AC12" s="97"/>
      <c r="AD12" s="89"/>
      <c r="AE12" s="97"/>
      <c r="AF12" s="97"/>
      <c r="AG12" s="89"/>
      <c r="AH12" s="97"/>
      <c r="AI12" s="97"/>
      <c r="AJ12" s="97"/>
      <c r="AK12" s="97"/>
      <c r="AL12" s="89"/>
      <c r="AM12" s="97"/>
      <c r="AN12" s="97"/>
      <c r="AO12" s="89"/>
      <c r="AP12" s="97"/>
      <c r="AQ12" s="97"/>
      <c r="AR12" s="97"/>
      <c r="AS12" s="97"/>
      <c r="AT12" s="89"/>
      <c r="AU12" s="97"/>
      <c r="AV12" s="97"/>
      <c r="AW12" s="89"/>
      <c r="AX12" s="97"/>
      <c r="AY12" s="97"/>
      <c r="AZ12" s="97"/>
      <c r="BA12" s="97"/>
      <c r="BB12" s="89"/>
      <c r="BC12" s="97"/>
      <c r="BD12" s="97"/>
      <c r="BE12" s="97"/>
      <c r="BF12" s="97"/>
      <c r="BG12" s="97"/>
      <c r="BH12" s="97"/>
      <c r="BI12" s="97"/>
      <c r="BJ12" s="97"/>
      <c r="BK12" s="97"/>
    </row>
    <row r="13" spans="1:63" s="100" customFormat="1" x14ac:dyDescent="0.25">
      <c r="A13" s="5"/>
      <c r="B13" s="206"/>
      <c r="C13" s="97"/>
      <c r="D13" s="97"/>
      <c r="E13" s="97"/>
      <c r="F13" s="97"/>
      <c r="G13" s="97"/>
      <c r="H13" s="97"/>
      <c r="I13" s="89"/>
      <c r="J13" s="97"/>
      <c r="K13" s="97"/>
      <c r="L13" s="97"/>
      <c r="M13" s="97"/>
      <c r="N13" s="97"/>
      <c r="O13" s="97"/>
      <c r="P13" s="97"/>
      <c r="Q13" s="89"/>
      <c r="R13" s="97"/>
      <c r="S13" s="97"/>
      <c r="T13" s="97"/>
      <c r="U13" s="97"/>
      <c r="V13" s="97"/>
      <c r="W13" s="97"/>
      <c r="X13" s="97"/>
      <c r="Y13" s="89"/>
      <c r="Z13" s="97"/>
      <c r="AA13" s="97"/>
      <c r="AB13" s="97"/>
      <c r="AC13" s="97"/>
      <c r="AD13" s="89"/>
      <c r="AE13" s="97"/>
      <c r="AF13" s="97"/>
      <c r="AG13" s="89"/>
      <c r="AH13" s="97"/>
      <c r="AI13" s="97"/>
      <c r="AJ13" s="97"/>
      <c r="AK13" s="97"/>
      <c r="AL13" s="89"/>
      <c r="AM13" s="97"/>
      <c r="AN13" s="97"/>
      <c r="AO13" s="89"/>
      <c r="AP13" s="97"/>
      <c r="AQ13" s="97"/>
      <c r="AR13" s="97"/>
      <c r="AS13" s="97"/>
      <c r="AT13" s="89"/>
      <c r="AU13" s="97"/>
      <c r="AV13" s="97"/>
      <c r="AW13" s="89"/>
      <c r="AX13" s="97"/>
      <c r="AY13" s="97"/>
      <c r="AZ13" s="97"/>
      <c r="BA13" s="97"/>
      <c r="BB13" s="89"/>
      <c r="BC13" s="97"/>
      <c r="BD13" s="97"/>
      <c r="BE13" s="97"/>
      <c r="BF13" s="97"/>
      <c r="BG13" s="97"/>
      <c r="BH13" s="97"/>
      <c r="BI13" s="97"/>
      <c r="BJ13" s="97"/>
      <c r="BK13" s="97"/>
    </row>
    <row r="14" spans="1:63" s="100" customFormat="1" ht="15.75" thickBot="1" x14ac:dyDescent="0.3">
      <c r="A14" s="15" t="s">
        <v>116</v>
      </c>
      <c r="B14" s="208">
        <v>428.7</v>
      </c>
      <c r="C14" s="97"/>
      <c r="D14" s="97"/>
      <c r="E14" s="97"/>
      <c r="F14" s="97"/>
      <c r="G14" s="97"/>
      <c r="H14" s="97"/>
      <c r="I14" s="89"/>
      <c r="J14" s="97"/>
      <c r="K14" s="97"/>
      <c r="L14" s="97"/>
      <c r="M14" s="97"/>
      <c r="N14" s="97"/>
      <c r="O14" s="97"/>
      <c r="P14" s="97"/>
      <c r="Q14" s="89"/>
      <c r="R14" s="97"/>
      <c r="S14" s="97"/>
      <c r="T14" s="97"/>
      <c r="U14" s="97"/>
      <c r="V14" s="97"/>
      <c r="W14" s="97"/>
      <c r="X14" s="97"/>
      <c r="Y14" s="89"/>
      <c r="Z14" s="97"/>
      <c r="AA14" s="97"/>
      <c r="AB14" s="97"/>
      <c r="AC14" s="97"/>
      <c r="AD14" s="89"/>
      <c r="AE14" s="97"/>
      <c r="AF14" s="97"/>
      <c r="AG14" s="89"/>
      <c r="AH14" s="97"/>
      <c r="AI14" s="97"/>
      <c r="AJ14" s="97"/>
      <c r="AK14" s="97"/>
      <c r="AL14" s="89"/>
      <c r="AM14" s="97"/>
      <c r="AN14" s="97"/>
      <c r="AO14" s="89"/>
      <c r="AP14" s="97"/>
      <c r="AQ14" s="97"/>
      <c r="AR14" s="97"/>
      <c r="AS14" s="97"/>
      <c r="AT14" s="89"/>
      <c r="AU14" s="97"/>
      <c r="AV14" s="97"/>
      <c r="AW14" s="89"/>
      <c r="AX14" s="97"/>
      <c r="AY14" s="97"/>
      <c r="AZ14" s="97"/>
      <c r="BA14" s="97"/>
      <c r="BB14" s="89"/>
      <c r="BC14" s="97"/>
      <c r="BD14" s="97"/>
      <c r="BE14" s="97"/>
      <c r="BF14" s="97"/>
      <c r="BG14" s="97"/>
      <c r="BH14" s="97"/>
      <c r="BI14" s="97"/>
      <c r="BJ14" s="97"/>
      <c r="BK14" s="97"/>
    </row>
    <row r="15" spans="1:63" s="100" customFormat="1" x14ac:dyDescent="0.25">
      <c r="A15" s="42"/>
      <c r="B15" s="89"/>
      <c r="C15" s="97"/>
      <c r="D15" s="97"/>
      <c r="E15" s="97"/>
      <c r="F15" s="97"/>
      <c r="G15" s="97"/>
      <c r="H15" s="97"/>
      <c r="I15" s="89"/>
      <c r="J15" s="97"/>
      <c r="K15" s="97"/>
      <c r="L15" s="97"/>
      <c r="M15" s="97"/>
      <c r="N15" s="97"/>
      <c r="O15" s="97"/>
      <c r="P15" s="97"/>
      <c r="Q15" s="89"/>
      <c r="R15" s="97"/>
      <c r="S15" s="97"/>
      <c r="T15" s="97"/>
      <c r="U15" s="97"/>
      <c r="V15" s="97"/>
      <c r="W15" s="97"/>
      <c r="X15" s="97"/>
      <c r="Y15" s="89"/>
      <c r="Z15" s="97"/>
      <c r="AA15" s="97"/>
      <c r="AB15" s="97"/>
      <c r="AC15" s="97"/>
      <c r="AD15" s="89"/>
      <c r="AE15" s="97"/>
      <c r="AF15" s="97"/>
      <c r="AG15" s="89"/>
      <c r="AH15" s="97"/>
      <c r="AI15" s="97"/>
      <c r="AJ15" s="97"/>
      <c r="AK15" s="97"/>
      <c r="AL15" s="89"/>
      <c r="AM15" s="97"/>
      <c r="AN15" s="97"/>
      <c r="AO15" s="89"/>
      <c r="AP15" s="97"/>
      <c r="AQ15" s="97"/>
      <c r="AR15" s="97"/>
      <c r="AS15" s="97"/>
      <c r="AT15" s="89"/>
      <c r="AU15" s="97"/>
      <c r="AV15" s="97"/>
      <c r="AW15" s="89"/>
      <c r="AX15" s="97"/>
      <c r="AY15" s="97"/>
      <c r="AZ15" s="97"/>
      <c r="BA15" s="97"/>
      <c r="BB15" s="89"/>
      <c r="BC15" s="97"/>
      <c r="BD15" s="97"/>
      <c r="BE15" s="97"/>
      <c r="BF15" s="97"/>
      <c r="BG15" s="97"/>
      <c r="BH15" s="97"/>
      <c r="BI15" s="97"/>
      <c r="BJ15" s="97"/>
      <c r="BK15" s="97"/>
    </row>
    <row r="16" spans="1:63" s="100" customFormat="1" x14ac:dyDescent="0.25">
      <c r="A16" s="42"/>
      <c r="B16" s="89"/>
      <c r="C16" s="97"/>
      <c r="D16" s="97"/>
      <c r="E16" s="97"/>
      <c r="F16" s="97"/>
      <c r="G16" s="97"/>
      <c r="H16" s="97"/>
      <c r="I16" s="89"/>
      <c r="J16" s="97"/>
      <c r="K16" s="97"/>
      <c r="L16" s="97"/>
      <c r="M16" s="97"/>
      <c r="N16" s="97"/>
      <c r="O16" s="97"/>
      <c r="P16" s="97"/>
      <c r="Q16" s="89"/>
      <c r="R16" s="97"/>
      <c r="S16" s="97"/>
      <c r="T16" s="97"/>
      <c r="U16" s="97"/>
      <c r="V16" s="97"/>
      <c r="W16" s="97"/>
      <c r="X16" s="97"/>
      <c r="Y16" s="89"/>
      <c r="Z16" s="97"/>
      <c r="AA16" s="97"/>
      <c r="AB16" s="97"/>
      <c r="AC16" s="97"/>
      <c r="AD16" s="89"/>
      <c r="AE16" s="97"/>
      <c r="AF16" s="97"/>
      <c r="AG16" s="89"/>
      <c r="AH16" s="97"/>
      <c r="AI16" s="97"/>
      <c r="AJ16" s="97"/>
      <c r="AK16" s="97"/>
      <c r="AL16" s="89"/>
      <c r="AM16" s="97"/>
      <c r="AN16" s="97"/>
      <c r="AO16" s="89"/>
      <c r="AP16" s="97"/>
      <c r="AQ16" s="97"/>
      <c r="AR16" s="97"/>
      <c r="AS16" s="97"/>
      <c r="AT16" s="89"/>
      <c r="AU16" s="97"/>
      <c r="AV16" s="97"/>
      <c r="AW16" s="89"/>
      <c r="AX16" s="97"/>
      <c r="AY16" s="97"/>
      <c r="AZ16" s="97"/>
      <c r="BA16" s="97"/>
      <c r="BB16" s="89"/>
      <c r="BC16" s="97"/>
      <c r="BD16" s="97"/>
      <c r="BE16" s="97"/>
      <c r="BF16" s="97"/>
      <c r="BG16" s="97"/>
      <c r="BH16" s="97"/>
      <c r="BI16" s="97"/>
      <c r="BJ16" s="97"/>
      <c r="BK16" s="97"/>
    </row>
    <row r="17" spans="1:63" s="100" customFormat="1" ht="15.75" thickBot="1" x14ac:dyDescent="0.3">
      <c r="A17" s="42"/>
      <c r="B17" s="97"/>
      <c r="C17" s="97"/>
      <c r="D17" s="97"/>
      <c r="E17" s="97"/>
      <c r="F17" s="97"/>
      <c r="G17" s="97"/>
      <c r="H17" s="97"/>
      <c r="I17" s="89"/>
      <c r="J17" s="97"/>
      <c r="K17" s="97"/>
      <c r="L17" s="97"/>
      <c r="M17" s="97"/>
      <c r="N17" s="97"/>
      <c r="O17" s="97"/>
      <c r="P17" s="97"/>
      <c r="Q17" s="89"/>
      <c r="R17" s="97"/>
      <c r="S17" s="97"/>
      <c r="T17" s="97"/>
      <c r="U17" s="97"/>
      <c r="V17" s="97"/>
      <c r="W17" s="97"/>
      <c r="X17" s="97"/>
      <c r="Y17" s="89"/>
      <c r="Z17" s="97"/>
      <c r="AA17" s="97"/>
      <c r="AB17" s="97"/>
      <c r="AC17" s="97"/>
      <c r="AD17" s="89"/>
      <c r="AE17" s="97"/>
      <c r="AF17" s="97"/>
      <c r="AG17" s="89"/>
      <c r="AH17" s="97"/>
      <c r="AI17" s="97"/>
      <c r="AJ17" s="97"/>
      <c r="AK17" s="97"/>
      <c r="AL17" s="89"/>
      <c r="AM17" s="97"/>
      <c r="AN17" s="97"/>
      <c r="AO17" s="89"/>
      <c r="AP17" s="97"/>
      <c r="AQ17" s="97"/>
      <c r="AR17" s="97"/>
      <c r="AS17" s="97"/>
      <c r="AT17" s="89"/>
      <c r="AU17" s="97"/>
      <c r="AV17" s="97"/>
      <c r="AW17" s="89"/>
      <c r="AX17" s="97"/>
      <c r="AY17" s="97"/>
      <c r="AZ17" s="97"/>
      <c r="BA17" s="97"/>
      <c r="BB17" s="89"/>
      <c r="BC17" s="97"/>
      <c r="BD17" s="97"/>
      <c r="BE17" s="97"/>
      <c r="BF17" s="97"/>
      <c r="BG17" s="97"/>
      <c r="BH17" s="97"/>
      <c r="BI17" s="97"/>
      <c r="BJ17" s="97"/>
      <c r="BK17" s="97"/>
    </row>
    <row r="18" spans="1:63" ht="15.75" thickBot="1" x14ac:dyDescent="0.3">
      <c r="A18" s="77"/>
      <c r="B18" s="264">
        <v>2014</v>
      </c>
      <c r="C18" s="265"/>
      <c r="D18" s="265"/>
      <c r="E18" s="265"/>
      <c r="F18" s="265"/>
      <c r="G18" s="265"/>
      <c r="H18" s="266"/>
      <c r="I18" s="77"/>
      <c r="J18" s="264">
        <v>2013</v>
      </c>
      <c r="K18" s="265"/>
      <c r="L18" s="265"/>
      <c r="M18" s="265"/>
      <c r="N18" s="265"/>
      <c r="O18" s="265"/>
      <c r="P18" s="266"/>
      <c r="Q18" s="77"/>
      <c r="R18" s="264">
        <v>2012</v>
      </c>
      <c r="S18" s="265"/>
      <c r="T18" s="265"/>
      <c r="U18" s="265"/>
      <c r="V18" s="265"/>
      <c r="W18" s="265"/>
      <c r="X18" s="266"/>
      <c r="Y18" s="77"/>
      <c r="Z18" s="264">
        <v>2011</v>
      </c>
      <c r="AA18" s="265"/>
      <c r="AB18" s="265"/>
      <c r="AC18" s="265"/>
      <c r="AD18" s="265"/>
      <c r="AE18" s="265"/>
      <c r="AF18" s="266"/>
      <c r="AG18" s="77"/>
      <c r="AH18" s="264">
        <v>2010</v>
      </c>
      <c r="AI18" s="265"/>
      <c r="AJ18" s="265"/>
      <c r="AK18" s="265"/>
      <c r="AL18" s="265"/>
      <c r="AM18" s="265"/>
      <c r="AN18" s="266"/>
      <c r="AO18" s="77"/>
      <c r="AP18" s="264">
        <v>2009</v>
      </c>
      <c r="AQ18" s="265"/>
      <c r="AR18" s="265"/>
      <c r="AS18" s="265"/>
      <c r="AT18" s="265"/>
      <c r="AU18" s="265"/>
      <c r="AV18" s="266"/>
      <c r="AW18" s="77"/>
      <c r="AX18" s="264">
        <v>2008</v>
      </c>
      <c r="AY18" s="265"/>
      <c r="AZ18" s="265"/>
      <c r="BA18" s="265"/>
      <c r="BB18" s="265"/>
      <c r="BC18" s="265"/>
      <c r="BD18" s="266"/>
      <c r="BE18" s="264">
        <v>2007</v>
      </c>
      <c r="BF18" s="265"/>
      <c r="BG18" s="265"/>
      <c r="BH18" s="265"/>
      <c r="BI18" s="265"/>
      <c r="BJ18" s="265"/>
      <c r="BK18" s="266"/>
    </row>
    <row r="19" spans="1:63" s="158" customFormat="1" x14ac:dyDescent="0.25">
      <c r="A19" s="115"/>
      <c r="B19" s="153" t="s">
        <v>3</v>
      </c>
      <c r="C19" s="97" t="s">
        <v>4</v>
      </c>
      <c r="D19" s="97" t="s">
        <v>5</v>
      </c>
      <c r="E19" s="97" t="s">
        <v>6</v>
      </c>
      <c r="F19" s="97" t="s">
        <v>7</v>
      </c>
      <c r="G19" s="97" t="s">
        <v>8</v>
      </c>
      <c r="H19" s="99" t="s">
        <v>9</v>
      </c>
      <c r="I19" s="115"/>
      <c r="J19" s="153" t="s">
        <v>3</v>
      </c>
      <c r="K19" s="97" t="s">
        <v>4</v>
      </c>
      <c r="L19" s="97" t="s">
        <v>5</v>
      </c>
      <c r="M19" s="97" t="s">
        <v>6</v>
      </c>
      <c r="N19" s="97" t="s">
        <v>7</v>
      </c>
      <c r="O19" s="97" t="s">
        <v>8</v>
      </c>
      <c r="P19" s="99" t="s">
        <v>9</v>
      </c>
      <c r="Q19" s="115"/>
      <c r="R19" s="153" t="s">
        <v>3</v>
      </c>
      <c r="S19" s="97" t="s">
        <v>4</v>
      </c>
      <c r="T19" s="97" t="s">
        <v>5</v>
      </c>
      <c r="U19" s="97" t="s">
        <v>6</v>
      </c>
      <c r="V19" s="97" t="s">
        <v>7</v>
      </c>
      <c r="W19" s="97" t="s">
        <v>8</v>
      </c>
      <c r="X19" s="99" t="s">
        <v>9</v>
      </c>
      <c r="Y19" s="115"/>
      <c r="Z19" s="153" t="s">
        <v>3</v>
      </c>
      <c r="AA19" s="97" t="s">
        <v>4</v>
      </c>
      <c r="AB19" s="97" t="s">
        <v>5</v>
      </c>
      <c r="AC19" s="97" t="s">
        <v>6</v>
      </c>
      <c r="AD19" s="97" t="s">
        <v>7</v>
      </c>
      <c r="AE19" s="97" t="s">
        <v>8</v>
      </c>
      <c r="AF19" s="99" t="s">
        <v>9</v>
      </c>
      <c r="AG19" s="115"/>
      <c r="AH19" s="153" t="s">
        <v>3</v>
      </c>
      <c r="AI19" s="97" t="s">
        <v>4</v>
      </c>
      <c r="AJ19" s="97" t="s">
        <v>5</v>
      </c>
      <c r="AK19" s="97" t="s">
        <v>6</v>
      </c>
      <c r="AL19" s="97" t="s">
        <v>7</v>
      </c>
      <c r="AM19" s="97" t="s">
        <v>8</v>
      </c>
      <c r="AN19" s="99" t="s">
        <v>9</v>
      </c>
      <c r="AO19" s="115"/>
      <c r="AP19" s="153" t="s">
        <v>3</v>
      </c>
      <c r="AQ19" s="97" t="s">
        <v>4</v>
      </c>
      <c r="AR19" s="97" t="s">
        <v>5</v>
      </c>
      <c r="AS19" s="97" t="s">
        <v>6</v>
      </c>
      <c r="AT19" s="97" t="s">
        <v>7</v>
      </c>
      <c r="AU19" s="97" t="s">
        <v>8</v>
      </c>
      <c r="AV19" s="99" t="s">
        <v>9</v>
      </c>
      <c r="AW19" s="115"/>
      <c r="AX19" s="153" t="s">
        <v>3</v>
      </c>
      <c r="AY19" s="97" t="s">
        <v>4</v>
      </c>
      <c r="AZ19" s="97" t="s">
        <v>5</v>
      </c>
      <c r="BA19" s="97" t="s">
        <v>6</v>
      </c>
      <c r="BB19" s="97" t="s">
        <v>7</v>
      </c>
      <c r="BC19" s="97" t="s">
        <v>8</v>
      </c>
      <c r="BD19" s="99" t="s">
        <v>9</v>
      </c>
      <c r="BE19" s="153" t="s">
        <v>3</v>
      </c>
      <c r="BF19" s="97" t="s">
        <v>4</v>
      </c>
      <c r="BG19" s="97" t="s">
        <v>5</v>
      </c>
      <c r="BH19" s="97" t="s">
        <v>6</v>
      </c>
      <c r="BI19" s="97" t="s">
        <v>7</v>
      </c>
      <c r="BJ19" s="97" t="s">
        <v>8</v>
      </c>
      <c r="BK19" s="99" t="s">
        <v>9</v>
      </c>
    </row>
    <row r="20" spans="1:63" x14ac:dyDescent="0.25">
      <c r="A20" s="77"/>
      <c r="B20" s="107"/>
      <c r="C20" s="105"/>
      <c r="D20" s="105"/>
      <c r="E20" s="105"/>
      <c r="F20" s="105"/>
      <c r="G20" s="105"/>
      <c r="H20" s="106"/>
      <c r="I20" s="77"/>
      <c r="J20" s="107"/>
      <c r="K20" s="105"/>
      <c r="L20" s="105"/>
      <c r="M20" s="105"/>
      <c r="N20" s="105"/>
      <c r="O20" s="105"/>
      <c r="P20" s="106"/>
      <c r="Q20" s="77"/>
      <c r="R20" s="107"/>
      <c r="S20" s="105"/>
      <c r="T20" s="105"/>
      <c r="U20" s="105"/>
      <c r="V20" s="105"/>
      <c r="W20" s="105"/>
      <c r="X20" s="106"/>
      <c r="Y20" s="77"/>
      <c r="Z20" s="107"/>
      <c r="AA20" s="105"/>
      <c r="AB20" s="105"/>
      <c r="AC20" s="105"/>
      <c r="AD20" s="105"/>
      <c r="AE20" s="105"/>
      <c r="AF20" s="106"/>
      <c r="AG20" s="77"/>
      <c r="AH20" s="107"/>
      <c r="AI20" s="105"/>
      <c r="AJ20" s="105"/>
      <c r="AK20" s="105"/>
      <c r="AL20" s="105"/>
      <c r="AM20" s="105"/>
      <c r="AN20" s="106"/>
      <c r="AO20" s="77"/>
      <c r="AP20" s="107"/>
      <c r="AQ20" s="105"/>
      <c r="AR20" s="105"/>
      <c r="AS20" s="105"/>
      <c r="AT20" s="105"/>
      <c r="AU20" s="105"/>
      <c r="AV20" s="106"/>
      <c r="AW20" s="77"/>
      <c r="AX20" s="107"/>
      <c r="AY20" s="105"/>
      <c r="AZ20" s="105"/>
      <c r="BA20" s="105"/>
      <c r="BB20" s="105"/>
      <c r="BC20" s="105"/>
      <c r="BD20" s="106"/>
      <c r="BE20" s="107"/>
      <c r="BF20" s="105"/>
      <c r="BG20" s="105"/>
      <c r="BH20" s="105"/>
      <c r="BI20" s="105"/>
      <c r="BJ20" s="105"/>
      <c r="BK20" s="106"/>
    </row>
    <row r="21" spans="1:63" s="100" customFormat="1" x14ac:dyDescent="0.25">
      <c r="A21" s="89" t="s">
        <v>10</v>
      </c>
      <c r="B21" s="108">
        <v>56108</v>
      </c>
      <c r="C21" s="103">
        <v>86373</v>
      </c>
      <c r="D21" s="103">
        <v>142481</v>
      </c>
      <c r="E21" s="103">
        <v>7514</v>
      </c>
      <c r="F21" s="103">
        <v>149995</v>
      </c>
      <c r="G21" s="103">
        <v>0</v>
      </c>
      <c r="H21" s="104">
        <v>149995</v>
      </c>
      <c r="I21" s="109"/>
      <c r="J21" s="108">
        <v>54878</v>
      </c>
      <c r="K21" s="103">
        <v>70316</v>
      </c>
      <c r="L21" s="103">
        <v>125194</v>
      </c>
      <c r="M21" s="103">
        <v>82293</v>
      </c>
      <c r="N21" s="103">
        <v>207487</v>
      </c>
      <c r="O21" s="103">
        <v>65259</v>
      </c>
      <c r="P21" s="104">
        <v>272746</v>
      </c>
      <c r="Q21" s="109"/>
      <c r="R21" s="108">
        <v>45671</v>
      </c>
      <c r="S21" s="103">
        <v>60721</v>
      </c>
      <c r="T21" s="103">
        <v>106392</v>
      </c>
      <c r="U21" s="103">
        <v>72864</v>
      </c>
      <c r="V21" s="103">
        <v>179256</v>
      </c>
      <c r="W21" s="103">
        <v>56613</v>
      </c>
      <c r="X21" s="104">
        <v>235869</v>
      </c>
      <c r="Y21" s="109"/>
      <c r="Z21" s="108">
        <v>42880</v>
      </c>
      <c r="AA21" s="103">
        <v>45895</v>
      </c>
      <c r="AB21" s="103">
        <v>88775</v>
      </c>
      <c r="AC21" s="103">
        <v>61689</v>
      </c>
      <c r="AD21" s="103">
        <v>150464</v>
      </c>
      <c r="AE21" s="103">
        <v>47275</v>
      </c>
      <c r="AF21" s="104">
        <v>197739</v>
      </c>
      <c r="AG21" s="109"/>
      <c r="AH21" s="108">
        <v>32732</v>
      </c>
      <c r="AI21" s="103">
        <v>34658</v>
      </c>
      <c r="AJ21" s="103">
        <v>67390</v>
      </c>
      <c r="AK21" s="103">
        <v>61357</v>
      </c>
      <c r="AL21" s="103">
        <v>128747</v>
      </c>
      <c r="AM21" s="103">
        <v>42236</v>
      </c>
      <c r="AN21" s="104">
        <v>170983</v>
      </c>
      <c r="AO21" s="109"/>
      <c r="AP21" s="108">
        <v>20105</v>
      </c>
      <c r="AQ21" s="103">
        <v>29855</v>
      </c>
      <c r="AR21" s="103">
        <v>49960</v>
      </c>
      <c r="AS21" s="103">
        <v>36910</v>
      </c>
      <c r="AT21" s="103">
        <v>86870</v>
      </c>
      <c r="AU21" s="103">
        <v>34649</v>
      </c>
      <c r="AV21" s="104">
        <v>121519</v>
      </c>
      <c r="AW21" s="109"/>
      <c r="AX21" s="108">
        <v>23437</v>
      </c>
      <c r="AY21" s="103">
        <v>34415</v>
      </c>
      <c r="AZ21" s="103">
        <v>57852</v>
      </c>
      <c r="BA21" s="103">
        <v>43326</v>
      </c>
      <c r="BB21" s="103">
        <v>101178</v>
      </c>
      <c r="BC21" s="103">
        <v>30556</v>
      </c>
      <c r="BD21" s="104">
        <v>131734</v>
      </c>
      <c r="BE21" s="108">
        <v>0</v>
      </c>
      <c r="BF21" s="103">
        <v>0</v>
      </c>
      <c r="BG21" s="103">
        <v>0</v>
      </c>
      <c r="BH21" s="103"/>
      <c r="BI21" s="103"/>
      <c r="BJ21" s="103"/>
      <c r="BK21" s="104"/>
    </row>
    <row r="22" spans="1:63" s="100" customFormat="1" x14ac:dyDescent="0.25">
      <c r="A22" s="89" t="s">
        <v>11</v>
      </c>
      <c r="B22" s="108">
        <v>39091</v>
      </c>
      <c r="C22" s="103">
        <v>59420</v>
      </c>
      <c r="D22" s="103">
        <v>98511</v>
      </c>
      <c r="E22" s="103">
        <v>5190</v>
      </c>
      <c r="F22" s="103">
        <v>103701</v>
      </c>
      <c r="G22" s="103">
        <v>0</v>
      </c>
      <c r="H22" s="104">
        <v>103701</v>
      </c>
      <c r="I22" s="109"/>
      <c r="J22" s="108">
        <v>39163</v>
      </c>
      <c r="K22" s="103">
        <v>49952</v>
      </c>
      <c r="L22" s="103">
        <v>89115</v>
      </c>
      <c r="M22" s="103">
        <v>56960</v>
      </c>
      <c r="N22" s="103">
        <v>146075</v>
      </c>
      <c r="O22" s="103">
        <v>46542</v>
      </c>
      <c r="P22" s="104">
        <v>192617</v>
      </c>
      <c r="Q22" s="109"/>
      <c r="R22" s="108">
        <v>32572</v>
      </c>
      <c r="S22" s="103">
        <v>44275</v>
      </c>
      <c r="T22" s="103">
        <v>76847</v>
      </c>
      <c r="U22" s="103">
        <v>52746</v>
      </c>
      <c r="V22" s="103">
        <v>129593</v>
      </c>
      <c r="W22" s="103">
        <v>43447</v>
      </c>
      <c r="X22" s="104">
        <v>173040</v>
      </c>
      <c r="Y22" s="109"/>
      <c r="Z22" s="108">
        <v>29903</v>
      </c>
      <c r="AA22" s="103">
        <v>33068</v>
      </c>
      <c r="AB22" s="103">
        <v>62971</v>
      </c>
      <c r="AC22" s="103">
        <v>42816</v>
      </c>
      <c r="AD22" s="103">
        <v>105787</v>
      </c>
      <c r="AE22" s="103">
        <v>35062</v>
      </c>
      <c r="AF22" s="104">
        <v>140849</v>
      </c>
      <c r="AG22" s="109"/>
      <c r="AH22" s="108">
        <v>23258</v>
      </c>
      <c r="AI22" s="103">
        <v>24776</v>
      </c>
      <c r="AJ22" s="103">
        <v>48034</v>
      </c>
      <c r="AK22" s="103">
        <v>43290</v>
      </c>
      <c r="AL22" s="103">
        <v>91324</v>
      </c>
      <c r="AM22" s="103">
        <v>31049</v>
      </c>
      <c r="AN22" s="104">
        <v>122373</v>
      </c>
      <c r="AO22" s="109"/>
      <c r="AP22" s="108">
        <v>14879</v>
      </c>
      <c r="AQ22" s="103">
        <v>21380</v>
      </c>
      <c r="AR22" s="103">
        <v>36259</v>
      </c>
      <c r="AS22" s="103">
        <v>26264</v>
      </c>
      <c r="AT22" s="103">
        <v>62523</v>
      </c>
      <c r="AU22" s="103">
        <v>24515</v>
      </c>
      <c r="AV22" s="104">
        <v>87038</v>
      </c>
      <c r="AW22" s="109"/>
      <c r="AX22" s="108">
        <v>17941</v>
      </c>
      <c r="AY22" s="103">
        <v>24896</v>
      </c>
      <c r="AZ22" s="103">
        <v>42837</v>
      </c>
      <c r="BA22" s="103">
        <v>30631</v>
      </c>
      <c r="BB22" s="103">
        <v>73468</v>
      </c>
      <c r="BC22" s="103">
        <v>22376</v>
      </c>
      <c r="BD22" s="104">
        <v>95844</v>
      </c>
      <c r="BE22" s="108">
        <v>0</v>
      </c>
      <c r="BF22" s="103">
        <v>0</v>
      </c>
      <c r="BG22" s="103">
        <v>0</v>
      </c>
      <c r="BH22" s="103"/>
      <c r="BI22" s="103"/>
      <c r="BJ22" s="103"/>
      <c r="BK22" s="104"/>
    </row>
    <row r="23" spans="1:63" s="100" customFormat="1" x14ac:dyDescent="0.25">
      <c r="A23" s="89" t="s">
        <v>12</v>
      </c>
      <c r="B23" s="108">
        <v>17017</v>
      </c>
      <c r="C23" s="103">
        <v>26953</v>
      </c>
      <c r="D23" s="103">
        <v>43970</v>
      </c>
      <c r="E23" s="103">
        <v>2324</v>
      </c>
      <c r="F23" s="103">
        <v>46294</v>
      </c>
      <c r="G23" s="103">
        <v>0</v>
      </c>
      <c r="H23" s="104">
        <v>46294</v>
      </c>
      <c r="I23" s="109"/>
      <c r="J23" s="108">
        <v>15715</v>
      </c>
      <c r="K23" s="103">
        <v>20364</v>
      </c>
      <c r="L23" s="103">
        <v>36079</v>
      </c>
      <c r="M23" s="103">
        <v>25333</v>
      </c>
      <c r="N23" s="103">
        <v>61412</v>
      </c>
      <c r="O23" s="103">
        <v>18717</v>
      </c>
      <c r="P23" s="104">
        <v>80129</v>
      </c>
      <c r="Q23" s="109"/>
      <c r="R23" s="108">
        <v>13099</v>
      </c>
      <c r="S23" s="103">
        <v>16446</v>
      </c>
      <c r="T23" s="103">
        <v>29545</v>
      </c>
      <c r="U23" s="103">
        <v>20118</v>
      </c>
      <c r="V23" s="103">
        <v>49663</v>
      </c>
      <c r="W23" s="103">
        <v>13166</v>
      </c>
      <c r="X23" s="104">
        <v>62829</v>
      </c>
      <c r="Y23" s="109"/>
      <c r="Z23" s="108">
        <v>12977</v>
      </c>
      <c r="AA23" s="103">
        <v>12827</v>
      </c>
      <c r="AB23" s="103">
        <v>25804</v>
      </c>
      <c r="AC23" s="103">
        <v>18873</v>
      </c>
      <c r="AD23" s="103">
        <v>44677</v>
      </c>
      <c r="AE23" s="103">
        <v>12213</v>
      </c>
      <c r="AF23" s="104">
        <v>56890</v>
      </c>
      <c r="AG23" s="109"/>
      <c r="AH23" s="108">
        <v>9474</v>
      </c>
      <c r="AI23" s="103">
        <v>9882</v>
      </c>
      <c r="AJ23" s="103">
        <v>19356</v>
      </c>
      <c r="AK23" s="103">
        <v>18067</v>
      </c>
      <c r="AL23" s="103">
        <v>37423</v>
      </c>
      <c r="AM23" s="103">
        <v>11187</v>
      </c>
      <c r="AN23" s="104">
        <v>48610</v>
      </c>
      <c r="AO23" s="109"/>
      <c r="AP23" s="108">
        <v>5226</v>
      </c>
      <c r="AQ23" s="103">
        <v>8475</v>
      </c>
      <c r="AR23" s="103">
        <v>13701</v>
      </c>
      <c r="AS23" s="103">
        <v>10646</v>
      </c>
      <c r="AT23" s="103">
        <v>24347</v>
      </c>
      <c r="AU23" s="103">
        <v>10134</v>
      </c>
      <c r="AV23" s="104">
        <v>34481</v>
      </c>
      <c r="AW23" s="109"/>
      <c r="AX23" s="108">
        <v>5496</v>
      </c>
      <c r="AY23" s="103">
        <v>9519</v>
      </c>
      <c r="AZ23" s="103">
        <v>15015</v>
      </c>
      <c r="BA23" s="103">
        <v>12695</v>
      </c>
      <c r="BB23" s="103">
        <v>27710</v>
      </c>
      <c r="BC23" s="103">
        <v>8180</v>
      </c>
      <c r="BD23" s="104">
        <v>35890</v>
      </c>
      <c r="BE23" s="108">
        <v>0</v>
      </c>
      <c r="BF23" s="103">
        <v>0</v>
      </c>
      <c r="BG23" s="103">
        <v>0</v>
      </c>
      <c r="BH23" s="103"/>
      <c r="BI23" s="103"/>
      <c r="BJ23" s="103"/>
      <c r="BK23" s="104"/>
    </row>
    <row r="24" spans="1:63" ht="15" customHeight="1" outlineLevel="1" x14ac:dyDescent="0.25">
      <c r="A24" s="77" t="s">
        <v>13</v>
      </c>
      <c r="B24" s="107">
        <v>10909</v>
      </c>
      <c r="C24" s="105">
        <v>13543</v>
      </c>
      <c r="D24" s="105">
        <v>24452</v>
      </c>
      <c r="E24" s="105">
        <v>1330</v>
      </c>
      <c r="F24" s="105">
        <v>25782</v>
      </c>
      <c r="G24" s="105">
        <v>0</v>
      </c>
      <c r="H24" s="106">
        <v>25782</v>
      </c>
      <c r="I24" s="110"/>
      <c r="J24" s="107">
        <v>8188</v>
      </c>
      <c r="K24" s="105">
        <v>8755</v>
      </c>
      <c r="L24" s="105">
        <v>16943</v>
      </c>
      <c r="M24" s="105">
        <v>9160</v>
      </c>
      <c r="N24" s="105">
        <v>26103</v>
      </c>
      <c r="O24" s="105">
        <v>9557</v>
      </c>
      <c r="P24" s="106">
        <v>35660</v>
      </c>
      <c r="Q24" s="110"/>
      <c r="R24" s="107">
        <v>7379</v>
      </c>
      <c r="S24" s="105">
        <v>8137</v>
      </c>
      <c r="T24" s="105">
        <v>15516</v>
      </c>
      <c r="U24" s="105">
        <v>7661</v>
      </c>
      <c r="V24" s="105">
        <v>23177</v>
      </c>
      <c r="W24" s="105">
        <v>7684</v>
      </c>
      <c r="X24" s="106">
        <v>30861</v>
      </c>
      <c r="Y24" s="110"/>
      <c r="Z24" s="107">
        <v>6524</v>
      </c>
      <c r="AA24" s="105">
        <v>6796</v>
      </c>
      <c r="AB24" s="105">
        <v>13320</v>
      </c>
      <c r="AC24" s="105">
        <v>7426</v>
      </c>
      <c r="AD24" s="105">
        <v>20746</v>
      </c>
      <c r="AE24" s="105">
        <v>7841</v>
      </c>
      <c r="AF24" s="106">
        <v>28587</v>
      </c>
      <c r="AG24" s="110"/>
      <c r="AH24" s="107">
        <v>5182</v>
      </c>
      <c r="AI24" s="105">
        <v>5440</v>
      </c>
      <c r="AJ24" s="105">
        <v>10622</v>
      </c>
      <c r="AK24" s="105">
        <v>6214</v>
      </c>
      <c r="AL24" s="105">
        <v>16836</v>
      </c>
      <c r="AM24" s="105">
        <v>6481</v>
      </c>
      <c r="AN24" s="106">
        <v>23317</v>
      </c>
      <c r="AO24" s="110"/>
      <c r="AP24" s="107">
        <v>4646</v>
      </c>
      <c r="AQ24" s="105">
        <v>5021</v>
      </c>
      <c r="AR24" s="105">
        <v>9667</v>
      </c>
      <c r="AS24" s="105">
        <v>4485</v>
      </c>
      <c r="AT24" s="105">
        <v>14152</v>
      </c>
      <c r="AU24" s="105">
        <v>4079</v>
      </c>
      <c r="AV24" s="106">
        <v>18231</v>
      </c>
      <c r="AW24" s="110"/>
      <c r="AX24" s="107">
        <v>3985</v>
      </c>
      <c r="AY24" s="105">
        <v>4930</v>
      </c>
      <c r="AZ24" s="105">
        <v>8915</v>
      </c>
      <c r="BA24" s="105">
        <v>4851</v>
      </c>
      <c r="BB24" s="105">
        <v>13766</v>
      </c>
      <c r="BC24" s="105">
        <v>5420</v>
      </c>
      <c r="BD24" s="106">
        <v>19186</v>
      </c>
      <c r="BE24" s="107">
        <v>0</v>
      </c>
      <c r="BF24" s="105">
        <v>0</v>
      </c>
      <c r="BG24" s="105">
        <v>0</v>
      </c>
      <c r="BH24" s="105"/>
      <c r="BI24" s="105"/>
      <c r="BJ24" s="105"/>
      <c r="BK24" s="106"/>
    </row>
    <row r="25" spans="1:63" ht="15" customHeight="1" outlineLevel="1" x14ac:dyDescent="0.25">
      <c r="A25" s="77" t="s">
        <v>14</v>
      </c>
      <c r="B25" s="107">
        <v>0</v>
      </c>
      <c r="C25" s="105">
        <v>0</v>
      </c>
      <c r="D25" s="105">
        <v>0</v>
      </c>
      <c r="E25" s="105">
        <v>0</v>
      </c>
      <c r="F25" s="105">
        <v>0</v>
      </c>
      <c r="G25" s="105">
        <v>0</v>
      </c>
      <c r="H25" s="106">
        <v>0</v>
      </c>
      <c r="I25" s="110"/>
      <c r="J25" s="107">
        <v>125</v>
      </c>
      <c r="K25" s="105">
        <v>125</v>
      </c>
      <c r="L25" s="105">
        <v>250</v>
      </c>
      <c r="M25" s="105">
        <v>58</v>
      </c>
      <c r="N25" s="105">
        <v>308</v>
      </c>
      <c r="O25" s="105">
        <v>0</v>
      </c>
      <c r="P25" s="106">
        <v>308</v>
      </c>
      <c r="Q25" s="110"/>
      <c r="R25" s="107">
        <v>125</v>
      </c>
      <c r="S25" s="105">
        <v>125</v>
      </c>
      <c r="T25" s="105">
        <v>250</v>
      </c>
      <c r="U25" s="105">
        <v>125</v>
      </c>
      <c r="V25" s="105">
        <v>375</v>
      </c>
      <c r="W25" s="105">
        <v>125</v>
      </c>
      <c r="X25" s="106">
        <v>500</v>
      </c>
      <c r="Y25" s="110"/>
      <c r="Z25" s="107">
        <v>125</v>
      </c>
      <c r="AA25" s="105">
        <v>125</v>
      </c>
      <c r="AB25" s="105">
        <v>250</v>
      </c>
      <c r="AC25" s="105">
        <v>125</v>
      </c>
      <c r="AD25" s="105">
        <v>375</v>
      </c>
      <c r="AE25" s="105">
        <v>125</v>
      </c>
      <c r="AF25" s="106">
        <v>500</v>
      </c>
      <c r="AG25" s="110"/>
      <c r="AH25" s="107">
        <v>125</v>
      </c>
      <c r="AI25" s="105">
        <v>125</v>
      </c>
      <c r="AJ25" s="105">
        <v>250</v>
      </c>
      <c r="AK25" s="105">
        <v>125</v>
      </c>
      <c r="AL25" s="105">
        <v>375</v>
      </c>
      <c r="AM25" s="105">
        <v>125</v>
      </c>
      <c r="AN25" s="106">
        <v>500</v>
      </c>
      <c r="AO25" s="110"/>
      <c r="AP25" s="107">
        <v>125</v>
      </c>
      <c r="AQ25" s="105">
        <v>125</v>
      </c>
      <c r="AR25" s="105">
        <v>250</v>
      </c>
      <c r="AS25" s="105">
        <v>125</v>
      </c>
      <c r="AT25" s="105">
        <v>375</v>
      </c>
      <c r="AU25" s="105">
        <v>0</v>
      </c>
      <c r="AV25" s="106">
        <v>375</v>
      </c>
      <c r="AW25" s="110"/>
      <c r="AX25" s="107">
        <v>121</v>
      </c>
      <c r="AY25" s="105">
        <v>125</v>
      </c>
      <c r="AZ25" s="105">
        <v>246</v>
      </c>
      <c r="BA25" s="105">
        <v>125</v>
      </c>
      <c r="BB25" s="105">
        <v>371</v>
      </c>
      <c r="BC25" s="105">
        <v>125</v>
      </c>
      <c r="BD25" s="106">
        <v>496</v>
      </c>
      <c r="BE25" s="107">
        <v>0</v>
      </c>
      <c r="BF25" s="105">
        <v>0</v>
      </c>
      <c r="BG25" s="105">
        <v>0</v>
      </c>
      <c r="BH25" s="105"/>
      <c r="BI25" s="105"/>
      <c r="BJ25" s="105"/>
      <c r="BK25" s="106"/>
    </row>
    <row r="26" spans="1:63" ht="17.25" customHeight="1" outlineLevel="1" x14ac:dyDescent="0.25">
      <c r="A26" s="77" t="s">
        <v>15</v>
      </c>
      <c r="B26" s="107">
        <v>1361</v>
      </c>
      <c r="C26" s="105">
        <v>1674</v>
      </c>
      <c r="D26" s="105">
        <v>3035</v>
      </c>
      <c r="E26" s="105">
        <v>185</v>
      </c>
      <c r="F26" s="105">
        <v>3220</v>
      </c>
      <c r="G26" s="105">
        <v>0</v>
      </c>
      <c r="H26" s="106">
        <v>3220</v>
      </c>
      <c r="I26" s="110"/>
      <c r="J26" s="107">
        <v>1341</v>
      </c>
      <c r="K26" s="105">
        <v>1341</v>
      </c>
      <c r="L26" s="105">
        <v>2682</v>
      </c>
      <c r="M26" s="105">
        <v>1341</v>
      </c>
      <c r="N26" s="105">
        <v>4023</v>
      </c>
      <c r="O26" s="105">
        <v>1355</v>
      </c>
      <c r="P26" s="106">
        <v>5378</v>
      </c>
      <c r="Q26" s="110"/>
      <c r="R26" s="107">
        <v>1304</v>
      </c>
      <c r="S26" s="105">
        <v>1329</v>
      </c>
      <c r="T26" s="105">
        <v>2633</v>
      </c>
      <c r="U26" s="105">
        <v>1341</v>
      </c>
      <c r="V26" s="105">
        <v>3974</v>
      </c>
      <c r="W26" s="105">
        <v>1341</v>
      </c>
      <c r="X26" s="106">
        <v>5315</v>
      </c>
      <c r="Y26" s="110"/>
      <c r="Z26" s="107">
        <v>1304</v>
      </c>
      <c r="AA26" s="105">
        <v>1304</v>
      </c>
      <c r="AB26" s="105">
        <v>2608</v>
      </c>
      <c r="AC26" s="105">
        <v>1305</v>
      </c>
      <c r="AD26" s="105">
        <v>3913</v>
      </c>
      <c r="AE26" s="105">
        <v>1304</v>
      </c>
      <c r="AF26" s="106">
        <v>5217</v>
      </c>
      <c r="AG26" s="110"/>
      <c r="AH26" s="107">
        <v>1304</v>
      </c>
      <c r="AI26" s="105">
        <v>1304</v>
      </c>
      <c r="AJ26" s="105">
        <v>2608</v>
      </c>
      <c r="AK26" s="105">
        <v>1305</v>
      </c>
      <c r="AL26" s="105">
        <v>3913</v>
      </c>
      <c r="AM26" s="105">
        <v>1304</v>
      </c>
      <c r="AN26" s="106">
        <v>5217</v>
      </c>
      <c r="AO26" s="110"/>
      <c r="AP26" s="107">
        <v>1304</v>
      </c>
      <c r="AQ26" s="105">
        <v>1304</v>
      </c>
      <c r="AR26" s="105">
        <v>2608</v>
      </c>
      <c r="AS26" s="105">
        <v>1305</v>
      </c>
      <c r="AT26" s="105">
        <v>3913</v>
      </c>
      <c r="AU26" s="105">
        <v>1304</v>
      </c>
      <c r="AV26" s="106">
        <v>5217</v>
      </c>
      <c r="AW26" s="110"/>
      <c r="AX26" s="107">
        <v>1588</v>
      </c>
      <c r="AY26" s="105">
        <v>1304</v>
      </c>
      <c r="AZ26" s="105">
        <v>2892</v>
      </c>
      <c r="BA26" s="105">
        <v>1305</v>
      </c>
      <c r="BB26" s="105">
        <v>4197</v>
      </c>
      <c r="BC26" s="105">
        <v>1304</v>
      </c>
      <c r="BD26" s="106">
        <v>5501</v>
      </c>
      <c r="BE26" s="107">
        <v>0</v>
      </c>
      <c r="BF26" s="105">
        <v>0</v>
      </c>
      <c r="BG26" s="105">
        <v>0</v>
      </c>
      <c r="BH26" s="105"/>
      <c r="BI26" s="105"/>
      <c r="BJ26" s="105"/>
      <c r="BK26" s="106"/>
    </row>
    <row r="27" spans="1:63" s="158" customFormat="1" ht="15" customHeight="1" outlineLevel="1" x14ac:dyDescent="0.25">
      <c r="A27" s="77" t="s">
        <v>16</v>
      </c>
      <c r="B27" s="154">
        <v>0</v>
      </c>
      <c r="C27" s="155">
        <v>0</v>
      </c>
      <c r="D27" s="155">
        <v>0</v>
      </c>
      <c r="E27" s="155">
        <v>0</v>
      </c>
      <c r="F27" s="155">
        <v>0</v>
      </c>
      <c r="G27" s="155">
        <v>0</v>
      </c>
      <c r="H27" s="156">
        <v>0</v>
      </c>
      <c r="I27" s="157"/>
      <c r="J27" s="154">
        <v>0</v>
      </c>
      <c r="K27" s="155">
        <v>0</v>
      </c>
      <c r="L27" s="155">
        <v>0</v>
      </c>
      <c r="M27" s="155">
        <v>0</v>
      </c>
      <c r="N27" s="155">
        <v>0</v>
      </c>
      <c r="O27" s="155">
        <v>0</v>
      </c>
      <c r="P27" s="156">
        <v>0</v>
      </c>
      <c r="Q27" s="157"/>
      <c r="R27" s="154">
        <v>0</v>
      </c>
      <c r="S27" s="155">
        <v>0</v>
      </c>
      <c r="T27" s="155">
        <v>0</v>
      </c>
      <c r="U27" s="155">
        <v>0</v>
      </c>
      <c r="V27" s="155">
        <v>0</v>
      </c>
      <c r="W27" s="155">
        <v>0</v>
      </c>
      <c r="X27" s="156">
        <v>0</v>
      </c>
      <c r="Y27" s="157"/>
      <c r="Z27" s="154">
        <v>0</v>
      </c>
      <c r="AA27" s="155">
        <v>0</v>
      </c>
      <c r="AB27" s="155">
        <v>0</v>
      </c>
      <c r="AC27" s="155">
        <v>0</v>
      </c>
      <c r="AD27" s="155">
        <v>0</v>
      </c>
      <c r="AE27" s="155">
        <v>0</v>
      </c>
      <c r="AF27" s="156">
        <v>0</v>
      </c>
      <c r="AG27" s="157"/>
      <c r="AH27" s="154">
        <v>0</v>
      </c>
      <c r="AI27" s="155">
        <v>0</v>
      </c>
      <c r="AJ27" s="155">
        <v>0</v>
      </c>
      <c r="AK27" s="155">
        <v>0</v>
      </c>
      <c r="AL27" s="155">
        <v>0</v>
      </c>
      <c r="AM27" s="155">
        <v>0</v>
      </c>
      <c r="AN27" s="156">
        <v>0</v>
      </c>
      <c r="AO27" s="157"/>
      <c r="AP27" s="154">
        <v>0</v>
      </c>
      <c r="AQ27" s="155">
        <v>0</v>
      </c>
      <c r="AR27" s="155">
        <v>0</v>
      </c>
      <c r="AS27" s="155">
        <v>0</v>
      </c>
      <c r="AT27" s="155">
        <v>0</v>
      </c>
      <c r="AU27" s="155">
        <v>0</v>
      </c>
      <c r="AV27" s="156">
        <v>0</v>
      </c>
      <c r="AW27" s="157"/>
      <c r="AX27" s="154">
        <v>0</v>
      </c>
      <c r="AY27" s="155">
        <v>0</v>
      </c>
      <c r="AZ27" s="155">
        <v>0</v>
      </c>
      <c r="BA27" s="155">
        <v>0</v>
      </c>
      <c r="BB27" s="155">
        <v>0</v>
      </c>
      <c r="BC27" s="155">
        <v>0</v>
      </c>
      <c r="BD27" s="156">
        <v>0</v>
      </c>
      <c r="BE27" s="154">
        <v>0</v>
      </c>
      <c r="BF27" s="155">
        <v>0</v>
      </c>
      <c r="BG27" s="155">
        <v>0</v>
      </c>
      <c r="BH27" s="155"/>
      <c r="BI27" s="155"/>
      <c r="BJ27" s="155"/>
      <c r="BK27" s="156"/>
    </row>
    <row r="28" spans="1:63" s="100" customFormat="1" x14ac:dyDescent="0.25">
      <c r="A28" s="89" t="s">
        <v>17</v>
      </c>
      <c r="B28" s="108">
        <v>4747</v>
      </c>
      <c r="C28" s="103">
        <v>11736</v>
      </c>
      <c r="D28" s="103">
        <v>16483</v>
      </c>
      <c r="E28" s="103">
        <v>809</v>
      </c>
      <c r="F28" s="103">
        <v>17292</v>
      </c>
      <c r="G28" s="103">
        <v>0</v>
      </c>
      <c r="H28" s="104">
        <v>17292</v>
      </c>
      <c r="I28" s="109"/>
      <c r="J28" s="108">
        <v>6061</v>
      </c>
      <c r="K28" s="103">
        <v>10143</v>
      </c>
      <c r="L28" s="103">
        <v>16204</v>
      </c>
      <c r="M28" s="103">
        <v>14774</v>
      </c>
      <c r="N28" s="103">
        <v>30978</v>
      </c>
      <c r="O28" s="103">
        <v>7805</v>
      </c>
      <c r="P28" s="104">
        <v>38783</v>
      </c>
      <c r="Q28" s="109"/>
      <c r="R28" s="108">
        <v>4291</v>
      </c>
      <c r="S28" s="103">
        <v>6855</v>
      </c>
      <c r="T28" s="103">
        <v>11146</v>
      </c>
      <c r="U28" s="103">
        <v>10991</v>
      </c>
      <c r="V28" s="103">
        <v>22137</v>
      </c>
      <c r="W28" s="103">
        <v>4016</v>
      </c>
      <c r="X28" s="104">
        <v>26153</v>
      </c>
      <c r="Y28" s="109"/>
      <c r="Z28" s="108">
        <v>5024</v>
      </c>
      <c r="AA28" s="103">
        <v>4602</v>
      </c>
      <c r="AB28" s="103">
        <v>9626</v>
      </c>
      <c r="AC28" s="103">
        <v>10017</v>
      </c>
      <c r="AD28" s="103">
        <v>19643</v>
      </c>
      <c r="AE28" s="103">
        <v>2943</v>
      </c>
      <c r="AF28" s="104">
        <v>22586</v>
      </c>
      <c r="AG28" s="109"/>
      <c r="AH28" s="108">
        <v>2863</v>
      </c>
      <c r="AI28" s="103">
        <v>3013</v>
      </c>
      <c r="AJ28" s="103">
        <v>5876</v>
      </c>
      <c r="AK28" s="103">
        <v>10423</v>
      </c>
      <c r="AL28" s="103">
        <v>16299</v>
      </c>
      <c r="AM28" s="103">
        <v>3277</v>
      </c>
      <c r="AN28" s="104">
        <v>19576</v>
      </c>
      <c r="AO28" s="109"/>
      <c r="AP28" s="108">
        <v>-849</v>
      </c>
      <c r="AQ28" s="103">
        <v>2025</v>
      </c>
      <c r="AR28" s="103">
        <v>1176</v>
      </c>
      <c r="AS28" s="103">
        <v>4731</v>
      </c>
      <c r="AT28" s="103">
        <v>5907</v>
      </c>
      <c r="AU28" s="103">
        <v>4751</v>
      </c>
      <c r="AV28" s="104">
        <v>10658</v>
      </c>
      <c r="AW28" s="109"/>
      <c r="AX28" s="108">
        <v>-198</v>
      </c>
      <c r="AY28" s="103">
        <v>3160</v>
      </c>
      <c r="AZ28" s="103">
        <v>2962</v>
      </c>
      <c r="BA28" s="103">
        <v>6414</v>
      </c>
      <c r="BB28" s="103">
        <v>9376</v>
      </c>
      <c r="BC28" s="103">
        <v>1331</v>
      </c>
      <c r="BD28" s="104">
        <v>10707</v>
      </c>
      <c r="BE28" s="108">
        <v>0</v>
      </c>
      <c r="BF28" s="103">
        <v>0</v>
      </c>
      <c r="BG28" s="103">
        <v>0</v>
      </c>
      <c r="BH28" s="103"/>
      <c r="BI28" s="103"/>
      <c r="BJ28" s="103"/>
      <c r="BK28" s="104"/>
    </row>
    <row r="29" spans="1:63" ht="15" customHeight="1" outlineLevel="1" x14ac:dyDescent="0.25">
      <c r="A29" s="77" t="s">
        <v>18</v>
      </c>
      <c r="B29" s="107">
        <v>7</v>
      </c>
      <c r="C29" s="105">
        <v>-79</v>
      </c>
      <c r="D29" s="105">
        <v>-72</v>
      </c>
      <c r="E29" s="105">
        <v>-19</v>
      </c>
      <c r="F29" s="105">
        <v>-91</v>
      </c>
      <c r="G29" s="105">
        <v>0</v>
      </c>
      <c r="H29" s="106">
        <v>-91</v>
      </c>
      <c r="I29" s="110"/>
      <c r="J29" s="107">
        <v>79</v>
      </c>
      <c r="K29" s="105">
        <v>164</v>
      </c>
      <c r="L29" s="105">
        <v>243</v>
      </c>
      <c r="M29" s="105">
        <v>1427</v>
      </c>
      <c r="N29" s="105">
        <v>1670</v>
      </c>
      <c r="O29" s="105">
        <v>46</v>
      </c>
      <c r="P29" s="106">
        <v>1716</v>
      </c>
      <c r="Q29" s="110"/>
      <c r="R29" s="107">
        <v>96</v>
      </c>
      <c r="S29" s="105">
        <v>523</v>
      </c>
      <c r="T29" s="105">
        <v>619</v>
      </c>
      <c r="U29" s="105">
        <v>137</v>
      </c>
      <c r="V29" s="105">
        <v>756</v>
      </c>
      <c r="W29" s="105">
        <v>113</v>
      </c>
      <c r="X29" s="106">
        <v>869</v>
      </c>
      <c r="Y29" s="110"/>
      <c r="Z29" s="107">
        <v>112</v>
      </c>
      <c r="AA29" s="105">
        <v>53</v>
      </c>
      <c r="AB29" s="105">
        <v>165</v>
      </c>
      <c r="AC29" s="105">
        <v>38</v>
      </c>
      <c r="AD29" s="105">
        <v>203</v>
      </c>
      <c r="AE29" s="105">
        <v>16</v>
      </c>
      <c r="AF29" s="106">
        <v>219</v>
      </c>
      <c r="AG29" s="110"/>
      <c r="AH29" s="107">
        <v>55</v>
      </c>
      <c r="AI29" s="105">
        <v>47</v>
      </c>
      <c r="AJ29" s="105">
        <v>102</v>
      </c>
      <c r="AK29" s="105">
        <v>52</v>
      </c>
      <c r="AL29" s="105">
        <v>154</v>
      </c>
      <c r="AM29" s="105">
        <v>21</v>
      </c>
      <c r="AN29" s="106">
        <v>175</v>
      </c>
      <c r="AO29" s="110"/>
      <c r="AP29" s="107">
        <v>31</v>
      </c>
      <c r="AQ29" s="105">
        <v>66</v>
      </c>
      <c r="AR29" s="105">
        <v>97</v>
      </c>
      <c r="AS29" s="105">
        <v>61</v>
      </c>
      <c r="AT29" s="105">
        <v>158</v>
      </c>
      <c r="AU29" s="105">
        <v>25</v>
      </c>
      <c r="AV29" s="106">
        <v>183</v>
      </c>
      <c r="AW29" s="110"/>
      <c r="AX29" s="107">
        <v>69</v>
      </c>
      <c r="AY29" s="105">
        <v>65</v>
      </c>
      <c r="AZ29" s="105">
        <v>134</v>
      </c>
      <c r="BA29" s="105">
        <v>61</v>
      </c>
      <c r="BB29" s="105">
        <v>195</v>
      </c>
      <c r="BC29" s="105">
        <v>46</v>
      </c>
      <c r="BD29" s="106">
        <v>241</v>
      </c>
      <c r="BE29" s="107">
        <v>0</v>
      </c>
      <c r="BF29" s="105">
        <v>0</v>
      </c>
      <c r="BG29" s="105">
        <v>0</v>
      </c>
      <c r="BH29" s="105"/>
      <c r="BI29" s="105"/>
      <c r="BJ29" s="105"/>
      <c r="BK29" s="106"/>
    </row>
    <row r="30" spans="1:63" ht="15" customHeight="1" outlineLevel="1" x14ac:dyDescent="0.25">
      <c r="A30" s="77" t="s">
        <v>19</v>
      </c>
      <c r="B30" s="107">
        <v>71</v>
      </c>
      <c r="C30" s="105">
        <v>274</v>
      </c>
      <c r="D30" s="105">
        <v>345</v>
      </c>
      <c r="E30" s="105">
        <v>34</v>
      </c>
      <c r="F30" s="105">
        <v>379</v>
      </c>
      <c r="G30" s="105">
        <v>0</v>
      </c>
      <c r="H30" s="106">
        <v>379</v>
      </c>
      <c r="I30" s="110"/>
      <c r="J30" s="107">
        <v>2</v>
      </c>
      <c r="K30" s="105">
        <v>4</v>
      </c>
      <c r="L30" s="105">
        <v>6</v>
      </c>
      <c r="M30" s="105">
        <v>94</v>
      </c>
      <c r="N30" s="105">
        <v>100</v>
      </c>
      <c r="O30" s="105">
        <v>118</v>
      </c>
      <c r="P30" s="106">
        <v>218</v>
      </c>
      <c r="Q30" s="110"/>
      <c r="R30" s="107">
        <v>2</v>
      </c>
      <c r="S30" s="105">
        <v>4</v>
      </c>
      <c r="T30" s="105">
        <v>6</v>
      </c>
      <c r="U30" s="105">
        <v>5</v>
      </c>
      <c r="V30" s="105">
        <v>11</v>
      </c>
      <c r="W30" s="105">
        <v>4</v>
      </c>
      <c r="X30" s="106">
        <v>15</v>
      </c>
      <c r="Y30" s="110"/>
      <c r="Z30" s="107">
        <v>0</v>
      </c>
      <c r="AA30" s="105">
        <v>6</v>
      </c>
      <c r="AB30" s="105">
        <v>6</v>
      </c>
      <c r="AC30" s="105">
        <v>6</v>
      </c>
      <c r="AD30" s="105">
        <v>12</v>
      </c>
      <c r="AE30" s="105">
        <v>4</v>
      </c>
      <c r="AF30" s="106">
        <v>16</v>
      </c>
      <c r="AG30" s="110"/>
      <c r="AH30" s="107">
        <v>0</v>
      </c>
      <c r="AI30" s="105">
        <v>0</v>
      </c>
      <c r="AJ30" s="105">
        <v>0</v>
      </c>
      <c r="AK30" s="105">
        <v>1</v>
      </c>
      <c r="AL30" s="105">
        <v>1</v>
      </c>
      <c r="AM30" s="105">
        <v>-1</v>
      </c>
      <c r="AN30" s="106">
        <v>0</v>
      </c>
      <c r="AO30" s="110"/>
      <c r="AP30" s="107">
        <v>0</v>
      </c>
      <c r="AQ30" s="105">
        <v>0</v>
      </c>
      <c r="AR30" s="105">
        <v>0</v>
      </c>
      <c r="AS30" s="105">
        <v>1</v>
      </c>
      <c r="AT30" s="105">
        <v>1</v>
      </c>
      <c r="AU30" s="105">
        <v>-1</v>
      </c>
      <c r="AV30" s="106">
        <v>0</v>
      </c>
      <c r="AW30" s="110"/>
      <c r="AX30" s="107">
        <v>0</v>
      </c>
      <c r="AY30" s="105">
        <v>0</v>
      </c>
      <c r="AZ30" s="105">
        <v>0</v>
      </c>
      <c r="BA30" s="105">
        <v>1</v>
      </c>
      <c r="BB30" s="105">
        <v>1</v>
      </c>
      <c r="BC30" s="105">
        <v>-1</v>
      </c>
      <c r="BD30" s="106">
        <v>0</v>
      </c>
      <c r="BE30" s="107">
        <v>0</v>
      </c>
      <c r="BF30" s="105">
        <v>0</v>
      </c>
      <c r="BG30" s="105">
        <v>0</v>
      </c>
      <c r="BH30" s="105"/>
      <c r="BI30" s="105"/>
      <c r="BJ30" s="105"/>
      <c r="BK30" s="106"/>
    </row>
    <row r="31" spans="1:63" ht="15" customHeight="1" outlineLevel="1" x14ac:dyDescent="0.25">
      <c r="A31" s="77" t="s">
        <v>20</v>
      </c>
      <c r="B31" s="107">
        <v>0</v>
      </c>
      <c r="C31" s="105">
        <v>0</v>
      </c>
      <c r="D31" s="105">
        <v>0</v>
      </c>
      <c r="E31" s="105">
        <v>0</v>
      </c>
      <c r="F31" s="105">
        <v>0</v>
      </c>
      <c r="G31" s="105">
        <v>0</v>
      </c>
      <c r="H31" s="106">
        <v>0</v>
      </c>
      <c r="I31" s="110"/>
      <c r="J31" s="107">
        <v>840</v>
      </c>
      <c r="K31" s="105">
        <v>882</v>
      </c>
      <c r="L31" s="105">
        <v>1722</v>
      </c>
      <c r="M31" s="105">
        <v>457</v>
      </c>
      <c r="N31" s="105">
        <v>2179</v>
      </c>
      <c r="O31" s="105">
        <v>0</v>
      </c>
      <c r="P31" s="106">
        <v>2179</v>
      </c>
      <c r="Q31" s="110"/>
      <c r="R31" s="107">
        <v>181</v>
      </c>
      <c r="S31" s="105">
        <v>352</v>
      </c>
      <c r="T31" s="105">
        <v>533</v>
      </c>
      <c r="U31" s="105">
        <v>1282</v>
      </c>
      <c r="V31" s="105">
        <v>1815</v>
      </c>
      <c r="W31" s="105">
        <v>1065</v>
      </c>
      <c r="X31" s="106">
        <v>2880</v>
      </c>
      <c r="Y31" s="110"/>
      <c r="Z31" s="107">
        <v>458</v>
      </c>
      <c r="AA31" s="105">
        <v>461</v>
      </c>
      <c r="AB31" s="105">
        <v>919</v>
      </c>
      <c r="AC31" s="105">
        <v>465</v>
      </c>
      <c r="AD31" s="105">
        <v>1384</v>
      </c>
      <c r="AE31" s="105">
        <v>375</v>
      </c>
      <c r="AF31" s="106">
        <v>1759</v>
      </c>
      <c r="AG31" s="110"/>
      <c r="AH31" s="107">
        <v>593</v>
      </c>
      <c r="AI31" s="105">
        <v>603</v>
      </c>
      <c r="AJ31" s="105">
        <v>1196</v>
      </c>
      <c r="AK31" s="105">
        <v>647</v>
      </c>
      <c r="AL31" s="105">
        <v>1843</v>
      </c>
      <c r="AM31" s="105">
        <v>579</v>
      </c>
      <c r="AN31" s="106">
        <v>2422</v>
      </c>
      <c r="AO31" s="110"/>
      <c r="AP31" s="107">
        <v>711</v>
      </c>
      <c r="AQ31" s="105">
        <v>729</v>
      </c>
      <c r="AR31" s="105">
        <v>1440</v>
      </c>
      <c r="AS31" s="105">
        <v>760</v>
      </c>
      <c r="AT31" s="105">
        <v>2200</v>
      </c>
      <c r="AU31" s="105">
        <v>663</v>
      </c>
      <c r="AV31" s="106">
        <v>2863</v>
      </c>
      <c r="AW31" s="110"/>
      <c r="AX31" s="107">
        <v>1206</v>
      </c>
      <c r="AY31" s="105">
        <v>1175</v>
      </c>
      <c r="AZ31" s="105">
        <v>2381</v>
      </c>
      <c r="BA31" s="105">
        <v>1206</v>
      </c>
      <c r="BB31" s="105">
        <v>3587</v>
      </c>
      <c r="BC31" s="105">
        <v>1028</v>
      </c>
      <c r="BD31" s="106">
        <v>4615</v>
      </c>
      <c r="BE31" s="107">
        <v>0</v>
      </c>
      <c r="BF31" s="105">
        <v>0</v>
      </c>
      <c r="BG31" s="105">
        <v>0</v>
      </c>
      <c r="BH31" s="105"/>
      <c r="BI31" s="105"/>
      <c r="BJ31" s="105"/>
      <c r="BK31" s="106"/>
    </row>
    <row r="32" spans="1:63" ht="17.25" customHeight="1" outlineLevel="1" x14ac:dyDescent="0.4">
      <c r="A32" s="77" t="s">
        <v>21</v>
      </c>
      <c r="B32" s="111">
        <v>1728</v>
      </c>
      <c r="C32" s="112">
        <v>-41</v>
      </c>
      <c r="D32" s="112">
        <v>1687</v>
      </c>
      <c r="E32" s="112">
        <v>270</v>
      </c>
      <c r="F32" s="112">
        <v>1957</v>
      </c>
      <c r="G32" s="112">
        <v>0</v>
      </c>
      <c r="H32" s="113">
        <v>1957</v>
      </c>
      <c r="I32" s="110"/>
      <c r="J32" s="111">
        <v>1588</v>
      </c>
      <c r="K32" s="112">
        <v>3374</v>
      </c>
      <c r="L32" s="112">
        <v>4962</v>
      </c>
      <c r="M32" s="112">
        <v>2872</v>
      </c>
      <c r="N32" s="112">
        <v>7834</v>
      </c>
      <c r="O32" s="112">
        <v>2732</v>
      </c>
      <c r="P32" s="113">
        <v>10566</v>
      </c>
      <c r="Q32" s="110"/>
      <c r="R32" s="111">
        <v>1373</v>
      </c>
      <c r="S32" s="112">
        <v>1658</v>
      </c>
      <c r="T32" s="112">
        <v>3031</v>
      </c>
      <c r="U32" s="112">
        <v>4099</v>
      </c>
      <c r="V32" s="112">
        <v>7130</v>
      </c>
      <c r="W32" s="112">
        <v>1051</v>
      </c>
      <c r="X32" s="113">
        <v>8181</v>
      </c>
      <c r="Y32" s="110"/>
      <c r="Z32" s="111">
        <v>1654</v>
      </c>
      <c r="AA32" s="112">
        <v>1472</v>
      </c>
      <c r="AB32" s="112">
        <v>3126</v>
      </c>
      <c r="AC32" s="112">
        <v>3146</v>
      </c>
      <c r="AD32" s="112">
        <v>6272</v>
      </c>
      <c r="AE32" s="112">
        <v>782</v>
      </c>
      <c r="AF32" s="113">
        <v>7054</v>
      </c>
      <c r="AG32" s="110"/>
      <c r="AH32" s="111">
        <v>769</v>
      </c>
      <c r="AI32" s="112">
        <v>862</v>
      </c>
      <c r="AJ32" s="112">
        <v>1631</v>
      </c>
      <c r="AK32" s="112">
        <v>3599</v>
      </c>
      <c r="AL32" s="112">
        <v>5230</v>
      </c>
      <c r="AM32" s="112">
        <v>980</v>
      </c>
      <c r="AN32" s="113">
        <v>6210</v>
      </c>
      <c r="AO32" s="110"/>
      <c r="AP32" s="111">
        <v>-584</v>
      </c>
      <c r="AQ32" s="112">
        <v>448</v>
      </c>
      <c r="AR32" s="112">
        <v>-136</v>
      </c>
      <c r="AS32" s="112">
        <v>1202</v>
      </c>
      <c r="AT32" s="112">
        <v>1066</v>
      </c>
      <c r="AU32" s="112">
        <v>1519</v>
      </c>
      <c r="AV32" s="113">
        <v>2585</v>
      </c>
      <c r="AW32" s="110"/>
      <c r="AX32" s="111">
        <v>-369</v>
      </c>
      <c r="AY32" s="112">
        <v>477</v>
      </c>
      <c r="AZ32" s="112">
        <v>108</v>
      </c>
      <c r="BA32" s="112">
        <v>1694</v>
      </c>
      <c r="BB32" s="112">
        <v>1802</v>
      </c>
      <c r="BC32" s="112">
        <v>213</v>
      </c>
      <c r="BD32" s="113">
        <v>2015</v>
      </c>
      <c r="BE32" s="111">
        <v>0</v>
      </c>
      <c r="BF32" s="112">
        <v>0</v>
      </c>
      <c r="BG32" s="112">
        <v>0</v>
      </c>
      <c r="BH32" s="112"/>
      <c r="BI32" s="112"/>
      <c r="BJ32" s="112"/>
      <c r="BK32" s="113"/>
    </row>
    <row r="33" spans="1:63" s="100" customFormat="1" x14ac:dyDescent="0.25">
      <c r="A33" s="89" t="s">
        <v>24</v>
      </c>
      <c r="B33" s="108">
        <v>2941</v>
      </c>
      <c r="C33" s="103">
        <v>11582</v>
      </c>
      <c r="D33" s="103">
        <v>14523</v>
      </c>
      <c r="E33" s="103">
        <v>524</v>
      </c>
      <c r="F33" s="103">
        <v>15047</v>
      </c>
      <c r="G33" s="103">
        <v>0</v>
      </c>
      <c r="H33" s="104">
        <v>15047</v>
      </c>
      <c r="I33" s="109"/>
      <c r="J33" s="108">
        <v>3552</v>
      </c>
      <c r="K33" s="103">
        <v>5719</v>
      </c>
      <c r="L33" s="103">
        <v>9271</v>
      </c>
      <c r="M33" s="103">
        <v>9924</v>
      </c>
      <c r="N33" s="103">
        <v>19195</v>
      </c>
      <c r="O33" s="103">
        <v>4909</v>
      </c>
      <c r="P33" s="104">
        <v>24104</v>
      </c>
      <c r="Q33" s="109"/>
      <c r="R33" s="108">
        <v>2639</v>
      </c>
      <c r="S33" s="103">
        <v>4318</v>
      </c>
      <c r="T33" s="103">
        <v>6957</v>
      </c>
      <c r="U33" s="103">
        <v>5468</v>
      </c>
      <c r="V33" s="103">
        <v>12425</v>
      </c>
      <c r="W33" s="103">
        <v>1783</v>
      </c>
      <c r="X33" s="104">
        <v>14208</v>
      </c>
      <c r="Y33" s="109"/>
      <c r="Z33" s="108">
        <v>2800</v>
      </c>
      <c r="AA33" s="103">
        <v>2610</v>
      </c>
      <c r="AB33" s="103">
        <v>5410</v>
      </c>
      <c r="AC33" s="103">
        <v>6362</v>
      </c>
      <c r="AD33" s="103">
        <v>11772</v>
      </c>
      <c r="AE33" s="103">
        <v>1766</v>
      </c>
      <c r="AF33" s="104">
        <v>13538</v>
      </c>
      <c r="AG33" s="109"/>
      <c r="AH33" s="108">
        <v>1446</v>
      </c>
      <c r="AI33" s="103">
        <v>1501</v>
      </c>
      <c r="AJ33" s="103">
        <v>2947</v>
      </c>
      <c r="AK33" s="103">
        <v>6124</v>
      </c>
      <c r="AL33" s="103">
        <v>9071</v>
      </c>
      <c r="AM33" s="103">
        <v>1698</v>
      </c>
      <c r="AN33" s="104">
        <v>10769</v>
      </c>
      <c r="AO33" s="109"/>
      <c r="AP33" s="108">
        <v>-1007</v>
      </c>
      <c r="AQ33" s="103">
        <v>782</v>
      </c>
      <c r="AR33" s="103">
        <v>-225</v>
      </c>
      <c r="AS33" s="103">
        <v>2707</v>
      </c>
      <c r="AT33" s="103">
        <v>2482</v>
      </c>
      <c r="AU33" s="103">
        <v>2545</v>
      </c>
      <c r="AV33" s="104">
        <v>5027</v>
      </c>
      <c r="AW33" s="109"/>
      <c r="AX33" s="108">
        <v>-1104</v>
      </c>
      <c r="AY33" s="103">
        <v>1443</v>
      </c>
      <c r="AZ33" s="103">
        <v>339</v>
      </c>
      <c r="BA33" s="103">
        <v>3452</v>
      </c>
      <c r="BB33" s="103">
        <v>3791</v>
      </c>
      <c r="BC33" s="103">
        <v>45</v>
      </c>
      <c r="BD33" s="104">
        <v>3836</v>
      </c>
      <c r="BE33" s="108">
        <v>0</v>
      </c>
      <c r="BF33" s="103">
        <v>0</v>
      </c>
      <c r="BG33" s="103">
        <v>0</v>
      </c>
      <c r="BH33" s="103"/>
      <c r="BI33" s="103"/>
      <c r="BJ33" s="103"/>
      <c r="BK33" s="104"/>
    </row>
    <row r="34" spans="1:63" ht="15" customHeight="1" outlineLevel="1" x14ac:dyDescent="0.25">
      <c r="A34" s="115" t="s">
        <v>54</v>
      </c>
      <c r="B34" s="107"/>
      <c r="C34" s="116"/>
      <c r="D34" s="116"/>
      <c r="E34" s="116"/>
      <c r="F34" s="105"/>
      <c r="G34" s="116"/>
      <c r="H34" s="117"/>
      <c r="I34" s="77"/>
      <c r="J34" s="107"/>
      <c r="K34" s="116"/>
      <c r="L34" s="116"/>
      <c r="M34" s="116"/>
      <c r="N34" s="105"/>
      <c r="O34" s="116"/>
      <c r="P34" s="117"/>
      <c r="Q34" s="77"/>
      <c r="R34" s="107"/>
      <c r="S34" s="116"/>
      <c r="T34" s="116"/>
      <c r="U34" s="116"/>
      <c r="V34" s="105"/>
      <c r="W34" s="116"/>
      <c r="X34" s="117"/>
      <c r="Y34" s="110"/>
      <c r="Z34" s="107"/>
      <c r="AA34" s="116"/>
      <c r="AB34" s="116"/>
      <c r="AC34" s="116"/>
      <c r="AD34" s="105"/>
      <c r="AE34" s="116"/>
      <c r="AF34" s="117"/>
      <c r="AG34" s="110"/>
      <c r="AH34" s="107"/>
      <c r="AI34" s="116"/>
      <c r="AJ34" s="116"/>
      <c r="AK34" s="116"/>
      <c r="AL34" s="105"/>
      <c r="AM34" s="116"/>
      <c r="AN34" s="117"/>
      <c r="AO34" s="110"/>
      <c r="AP34" s="107"/>
      <c r="AQ34" s="116"/>
      <c r="AR34" s="116"/>
      <c r="AS34" s="116"/>
      <c r="AT34" s="105"/>
      <c r="AU34" s="116"/>
      <c r="AV34" s="117"/>
      <c r="AW34" s="110"/>
      <c r="AX34" s="107"/>
      <c r="AY34" s="116"/>
      <c r="AZ34" s="116"/>
      <c r="BA34" s="116"/>
      <c r="BB34" s="105"/>
      <c r="BC34" s="116"/>
      <c r="BD34" s="117"/>
      <c r="BE34" s="107"/>
      <c r="BF34" s="116"/>
      <c r="BG34" s="116"/>
      <c r="BH34" s="116"/>
      <c r="BI34" s="105"/>
      <c r="BJ34" s="116"/>
      <c r="BK34" s="117"/>
    </row>
    <row r="35" spans="1:63" ht="15" customHeight="1" outlineLevel="1" x14ac:dyDescent="0.25">
      <c r="A35" s="77" t="s">
        <v>21</v>
      </c>
      <c r="B35" s="107">
        <v>1728</v>
      </c>
      <c r="C35" s="105">
        <v>-41</v>
      </c>
      <c r="D35" s="105">
        <v>1687</v>
      </c>
      <c r="E35" s="105">
        <v>0</v>
      </c>
      <c r="F35" s="105">
        <v>0</v>
      </c>
      <c r="G35" s="105">
        <v>0</v>
      </c>
      <c r="H35" s="106">
        <v>0</v>
      </c>
      <c r="I35" s="110"/>
      <c r="J35" s="107">
        <v>1588</v>
      </c>
      <c r="K35" s="105">
        <v>3374</v>
      </c>
      <c r="L35" s="105">
        <v>4962</v>
      </c>
      <c r="M35" s="105">
        <v>2872</v>
      </c>
      <c r="N35" s="105">
        <v>7834</v>
      </c>
      <c r="O35" s="105">
        <v>2732</v>
      </c>
      <c r="P35" s="106">
        <v>10566</v>
      </c>
      <c r="Q35" s="110"/>
      <c r="R35" s="107">
        <v>1373</v>
      </c>
      <c r="S35" s="105">
        <v>1658</v>
      </c>
      <c r="T35" s="105">
        <v>3031</v>
      </c>
      <c r="U35" s="105">
        <v>4099</v>
      </c>
      <c r="V35" s="105">
        <v>7130</v>
      </c>
      <c r="W35" s="105">
        <v>1051</v>
      </c>
      <c r="X35" s="106">
        <v>8181</v>
      </c>
      <c r="Y35" s="110"/>
      <c r="Z35" s="107">
        <v>1653</v>
      </c>
      <c r="AA35" s="105">
        <v>1473</v>
      </c>
      <c r="AB35" s="105">
        <v>3126</v>
      </c>
      <c r="AC35" s="105">
        <v>3146</v>
      </c>
      <c r="AD35" s="105">
        <v>6272</v>
      </c>
      <c r="AE35" s="105">
        <v>782</v>
      </c>
      <c r="AF35" s="106">
        <v>7054</v>
      </c>
      <c r="AG35" s="110"/>
      <c r="AH35" s="107">
        <v>769</v>
      </c>
      <c r="AI35" s="105">
        <v>862</v>
      </c>
      <c r="AJ35" s="105">
        <v>1631</v>
      </c>
      <c r="AK35" s="105">
        <v>3599</v>
      </c>
      <c r="AL35" s="105">
        <v>5230</v>
      </c>
      <c r="AM35" s="105">
        <v>980</v>
      </c>
      <c r="AN35" s="106">
        <v>6210</v>
      </c>
      <c r="AO35" s="110"/>
      <c r="AP35" s="107">
        <v>-584</v>
      </c>
      <c r="AQ35" s="105">
        <v>448</v>
      </c>
      <c r="AR35" s="105">
        <v>-136</v>
      </c>
      <c r="AS35" s="105">
        <v>1202</v>
      </c>
      <c r="AT35" s="105">
        <v>1066</v>
      </c>
      <c r="AU35" s="105">
        <v>1519</v>
      </c>
      <c r="AV35" s="106">
        <v>2585</v>
      </c>
      <c r="AW35" s="110"/>
      <c r="AX35" s="107">
        <v>-369</v>
      </c>
      <c r="AY35" s="105">
        <v>477</v>
      </c>
      <c r="AZ35" s="105">
        <v>108</v>
      </c>
      <c r="BA35" s="105">
        <v>1694</v>
      </c>
      <c r="BB35" s="105">
        <v>1802</v>
      </c>
      <c r="BC35" s="105">
        <v>213</v>
      </c>
      <c r="BD35" s="106">
        <v>2015</v>
      </c>
      <c r="BE35" s="107">
        <v>0</v>
      </c>
      <c r="BF35" s="105">
        <v>0</v>
      </c>
      <c r="BG35" s="105">
        <v>0</v>
      </c>
      <c r="BH35" s="105"/>
      <c r="BI35" s="105"/>
      <c r="BJ35" s="105"/>
      <c r="BK35" s="106"/>
    </row>
    <row r="36" spans="1:63" ht="15" customHeight="1" outlineLevel="1" x14ac:dyDescent="0.25">
      <c r="A36" s="77" t="s">
        <v>19</v>
      </c>
      <c r="B36" s="107">
        <v>71</v>
      </c>
      <c r="C36" s="105">
        <v>274</v>
      </c>
      <c r="D36" s="105">
        <v>345</v>
      </c>
      <c r="E36" s="105">
        <v>0</v>
      </c>
      <c r="F36" s="105">
        <v>0</v>
      </c>
      <c r="G36" s="105">
        <v>0</v>
      </c>
      <c r="H36" s="106">
        <v>0</v>
      </c>
      <c r="I36" s="110"/>
      <c r="J36" s="107">
        <v>2</v>
      </c>
      <c r="K36" s="105">
        <v>4</v>
      </c>
      <c r="L36" s="105">
        <v>6</v>
      </c>
      <c r="M36" s="105">
        <v>94</v>
      </c>
      <c r="N36" s="105">
        <v>100</v>
      </c>
      <c r="O36" s="105">
        <v>118</v>
      </c>
      <c r="P36" s="106">
        <v>218</v>
      </c>
      <c r="Q36" s="110"/>
      <c r="R36" s="107">
        <v>2</v>
      </c>
      <c r="S36" s="105">
        <v>4</v>
      </c>
      <c r="T36" s="105">
        <v>6</v>
      </c>
      <c r="U36" s="105">
        <v>5</v>
      </c>
      <c r="V36" s="105">
        <v>11</v>
      </c>
      <c r="W36" s="105">
        <v>5</v>
      </c>
      <c r="X36" s="106">
        <v>16</v>
      </c>
      <c r="Y36" s="110"/>
      <c r="Z36" s="107">
        <v>0</v>
      </c>
      <c r="AA36" s="105">
        <v>6</v>
      </c>
      <c r="AB36" s="105">
        <v>6</v>
      </c>
      <c r="AC36" s="105">
        <v>5</v>
      </c>
      <c r="AD36" s="105">
        <v>11</v>
      </c>
      <c r="AE36" s="105">
        <v>5</v>
      </c>
      <c r="AF36" s="106">
        <v>16</v>
      </c>
      <c r="AG36" s="110"/>
      <c r="AH36" s="107">
        <v>0</v>
      </c>
      <c r="AI36" s="105">
        <v>0</v>
      </c>
      <c r="AJ36" s="105">
        <v>0</v>
      </c>
      <c r="AK36" s="105">
        <v>1</v>
      </c>
      <c r="AL36" s="105">
        <v>1</v>
      </c>
      <c r="AM36" s="105">
        <v>-1</v>
      </c>
      <c r="AN36" s="106">
        <v>0</v>
      </c>
      <c r="AO36" s="110"/>
      <c r="AP36" s="107">
        <v>0</v>
      </c>
      <c r="AQ36" s="105">
        <v>0</v>
      </c>
      <c r="AR36" s="105">
        <v>0</v>
      </c>
      <c r="AS36" s="105">
        <v>1</v>
      </c>
      <c r="AT36" s="105">
        <v>1</v>
      </c>
      <c r="AU36" s="105">
        <v>-1</v>
      </c>
      <c r="AV36" s="106">
        <v>0</v>
      </c>
      <c r="AW36" s="110"/>
      <c r="AX36" s="107">
        <v>0</v>
      </c>
      <c r="AY36" s="105">
        <v>0</v>
      </c>
      <c r="AZ36" s="105">
        <v>0</v>
      </c>
      <c r="BA36" s="105">
        <v>1</v>
      </c>
      <c r="BB36" s="105">
        <v>1</v>
      </c>
      <c r="BC36" s="105">
        <v>-1</v>
      </c>
      <c r="BD36" s="106">
        <v>0</v>
      </c>
      <c r="BE36" s="107">
        <v>0</v>
      </c>
      <c r="BF36" s="105">
        <v>0</v>
      </c>
      <c r="BG36" s="105">
        <v>0</v>
      </c>
      <c r="BH36" s="105"/>
      <c r="BI36" s="105"/>
      <c r="BJ36" s="105"/>
      <c r="BK36" s="106"/>
    </row>
    <row r="37" spans="1:63" ht="15" customHeight="1" outlineLevel="1" x14ac:dyDescent="0.25">
      <c r="A37" s="77" t="s">
        <v>20</v>
      </c>
      <c r="B37" s="107">
        <v>0</v>
      </c>
      <c r="C37" s="105">
        <v>0</v>
      </c>
      <c r="D37" s="105">
        <v>0</v>
      </c>
      <c r="E37" s="105">
        <v>0</v>
      </c>
      <c r="F37" s="105">
        <v>0</v>
      </c>
      <c r="G37" s="105">
        <v>0</v>
      </c>
      <c r="H37" s="106">
        <v>0</v>
      </c>
      <c r="I37" s="110"/>
      <c r="J37" s="107">
        <v>840</v>
      </c>
      <c r="K37" s="105">
        <v>882</v>
      </c>
      <c r="L37" s="105">
        <v>1722</v>
      </c>
      <c r="M37" s="105">
        <v>457</v>
      </c>
      <c r="N37" s="105">
        <v>2179</v>
      </c>
      <c r="O37" s="105">
        <v>0</v>
      </c>
      <c r="P37" s="106">
        <v>2179</v>
      </c>
      <c r="Q37" s="110"/>
      <c r="R37" s="107">
        <v>181</v>
      </c>
      <c r="S37" s="105">
        <v>352</v>
      </c>
      <c r="T37" s="105">
        <v>533</v>
      </c>
      <c r="U37" s="105">
        <v>1282</v>
      </c>
      <c r="V37" s="105">
        <v>1815</v>
      </c>
      <c r="W37" s="105">
        <v>1065</v>
      </c>
      <c r="X37" s="106">
        <v>2880</v>
      </c>
      <c r="Y37" s="110"/>
      <c r="Z37" s="107">
        <v>458</v>
      </c>
      <c r="AA37" s="105">
        <v>461</v>
      </c>
      <c r="AB37" s="105">
        <v>919</v>
      </c>
      <c r="AC37" s="105">
        <v>434</v>
      </c>
      <c r="AD37" s="105">
        <v>1353</v>
      </c>
      <c r="AE37" s="105">
        <v>406</v>
      </c>
      <c r="AF37" s="106">
        <v>1759</v>
      </c>
      <c r="AG37" s="110"/>
      <c r="AH37" s="107">
        <v>593</v>
      </c>
      <c r="AI37" s="105">
        <v>603</v>
      </c>
      <c r="AJ37" s="105">
        <v>1196</v>
      </c>
      <c r="AK37" s="105">
        <v>647</v>
      </c>
      <c r="AL37" s="105">
        <v>1843</v>
      </c>
      <c r="AM37" s="105">
        <v>579</v>
      </c>
      <c r="AN37" s="106">
        <v>2422</v>
      </c>
      <c r="AO37" s="110"/>
      <c r="AP37" s="107">
        <v>711</v>
      </c>
      <c r="AQ37" s="105">
        <v>729</v>
      </c>
      <c r="AR37" s="105">
        <v>1440</v>
      </c>
      <c r="AS37" s="105">
        <v>760</v>
      </c>
      <c r="AT37" s="105">
        <v>2200</v>
      </c>
      <c r="AU37" s="105">
        <v>663</v>
      </c>
      <c r="AV37" s="106">
        <v>2863</v>
      </c>
      <c r="AW37" s="110"/>
      <c r="AX37" s="107">
        <v>1206</v>
      </c>
      <c r="AY37" s="105">
        <v>1175</v>
      </c>
      <c r="AZ37" s="105">
        <v>2381</v>
      </c>
      <c r="BA37" s="105">
        <v>1206</v>
      </c>
      <c r="BB37" s="105">
        <v>3587</v>
      </c>
      <c r="BC37" s="105">
        <v>1028</v>
      </c>
      <c r="BD37" s="106">
        <v>4615</v>
      </c>
      <c r="BE37" s="107">
        <v>0</v>
      </c>
      <c r="BF37" s="105">
        <v>0</v>
      </c>
      <c r="BG37" s="105">
        <v>0</v>
      </c>
      <c r="BH37" s="105"/>
      <c r="BI37" s="105"/>
      <c r="BJ37" s="105"/>
      <c r="BK37" s="106"/>
    </row>
    <row r="38" spans="1:63" ht="15" customHeight="1" outlineLevel="1" x14ac:dyDescent="0.25">
      <c r="A38" s="77" t="s">
        <v>55</v>
      </c>
      <c r="B38" s="107">
        <v>2038</v>
      </c>
      <c r="C38" s="116">
        <v>2584</v>
      </c>
      <c r="D38" s="116">
        <v>4622</v>
      </c>
      <c r="E38" s="116">
        <v>0</v>
      </c>
      <c r="F38" s="105">
        <v>0</v>
      </c>
      <c r="G38" s="116">
        <v>0</v>
      </c>
      <c r="H38" s="117">
        <v>0</v>
      </c>
      <c r="I38" s="110"/>
      <c r="J38" s="107">
        <v>1878</v>
      </c>
      <c r="K38" s="116">
        <v>1935</v>
      </c>
      <c r="L38" s="116">
        <v>3813</v>
      </c>
      <c r="M38" s="116">
        <v>1944</v>
      </c>
      <c r="N38" s="105">
        <v>5757</v>
      </c>
      <c r="O38" s="116">
        <v>2002</v>
      </c>
      <c r="P38" s="117">
        <v>7759</v>
      </c>
      <c r="Q38" s="110"/>
      <c r="R38" s="107">
        <v>1713</v>
      </c>
      <c r="S38" s="116">
        <v>1742</v>
      </c>
      <c r="T38" s="116">
        <v>3455</v>
      </c>
      <c r="U38" s="116">
        <v>1865</v>
      </c>
      <c r="V38" s="105">
        <v>5320</v>
      </c>
      <c r="W38" s="116">
        <v>1875</v>
      </c>
      <c r="X38" s="117">
        <v>7195</v>
      </c>
      <c r="Y38" s="110"/>
      <c r="Z38" s="107">
        <v>1625</v>
      </c>
      <c r="AA38" s="116">
        <v>1633</v>
      </c>
      <c r="AB38" s="116">
        <v>3258</v>
      </c>
      <c r="AC38" s="116">
        <v>1638</v>
      </c>
      <c r="AD38" s="105">
        <v>4896</v>
      </c>
      <c r="AE38" s="116">
        <v>1702</v>
      </c>
      <c r="AF38" s="117">
        <v>6598</v>
      </c>
      <c r="AG38" s="110"/>
      <c r="AH38" s="107">
        <v>1526</v>
      </c>
      <c r="AI38" s="116">
        <v>1534</v>
      </c>
      <c r="AJ38" s="116">
        <v>3060</v>
      </c>
      <c r="AK38" s="116">
        <v>1539</v>
      </c>
      <c r="AL38" s="105">
        <v>4599</v>
      </c>
      <c r="AM38" s="116">
        <v>1551</v>
      </c>
      <c r="AN38" s="117">
        <v>6150</v>
      </c>
      <c r="AO38" s="110"/>
      <c r="AP38" s="107">
        <v>1650</v>
      </c>
      <c r="AQ38" s="116">
        <v>1599</v>
      </c>
      <c r="AR38" s="116">
        <v>3249</v>
      </c>
      <c r="AS38" s="116">
        <v>1628</v>
      </c>
      <c r="AT38" s="105">
        <v>4877</v>
      </c>
      <c r="AU38" s="116">
        <v>1632</v>
      </c>
      <c r="AV38" s="117">
        <v>6509</v>
      </c>
      <c r="AW38" s="110"/>
      <c r="AX38" s="107">
        <v>1893</v>
      </c>
      <c r="AY38" s="116">
        <v>1625</v>
      </c>
      <c r="AZ38" s="116">
        <v>3518</v>
      </c>
      <c r="BA38" s="116">
        <v>1620</v>
      </c>
      <c r="BB38" s="105">
        <v>5138</v>
      </c>
      <c r="BC38" s="116">
        <v>1578</v>
      </c>
      <c r="BD38" s="117">
        <v>6716</v>
      </c>
      <c r="BE38" s="107">
        <v>0</v>
      </c>
      <c r="BF38" s="116">
        <v>0</v>
      </c>
      <c r="BG38" s="105">
        <v>0</v>
      </c>
      <c r="BH38" s="116"/>
      <c r="BI38" s="105"/>
      <c r="BJ38" s="116"/>
      <c r="BK38" s="117"/>
    </row>
    <row r="39" spans="1:63" s="158" customFormat="1" ht="15" customHeight="1" outlineLevel="1" x14ac:dyDescent="0.25">
      <c r="A39" s="77" t="s">
        <v>56</v>
      </c>
      <c r="B39" s="154">
        <v>0</v>
      </c>
      <c r="C39" s="190">
        <v>0</v>
      </c>
      <c r="D39" s="190">
        <v>0</v>
      </c>
      <c r="E39" s="190">
        <v>0</v>
      </c>
      <c r="F39" s="155">
        <v>0</v>
      </c>
      <c r="G39" s="190">
        <v>0</v>
      </c>
      <c r="H39" s="191">
        <v>0</v>
      </c>
      <c r="I39" s="157"/>
      <c r="J39" s="154">
        <v>115</v>
      </c>
      <c r="K39" s="190">
        <v>110</v>
      </c>
      <c r="L39" s="190">
        <v>225</v>
      </c>
      <c r="M39" s="190">
        <v>1451</v>
      </c>
      <c r="N39" s="155">
        <v>1676</v>
      </c>
      <c r="O39" s="190">
        <v>0</v>
      </c>
      <c r="P39" s="191">
        <v>1676</v>
      </c>
      <c r="Q39" s="157"/>
      <c r="R39" s="154">
        <v>51</v>
      </c>
      <c r="S39" s="190">
        <v>280</v>
      </c>
      <c r="T39" s="190">
        <v>331</v>
      </c>
      <c r="U39" s="190">
        <v>138</v>
      </c>
      <c r="V39" s="155">
        <v>469</v>
      </c>
      <c r="W39" s="190">
        <v>122</v>
      </c>
      <c r="X39" s="191">
        <v>591</v>
      </c>
      <c r="Y39" s="157"/>
      <c r="Z39" s="154">
        <v>52</v>
      </c>
      <c r="AA39" s="190">
        <v>52</v>
      </c>
      <c r="AB39" s="190">
        <v>104</v>
      </c>
      <c r="AC39" s="190">
        <v>52</v>
      </c>
      <c r="AD39" s="155">
        <v>156</v>
      </c>
      <c r="AE39" s="190">
        <v>51</v>
      </c>
      <c r="AF39" s="191">
        <v>207</v>
      </c>
      <c r="AG39" s="157"/>
      <c r="AH39" s="154">
        <v>55</v>
      </c>
      <c r="AI39" s="190">
        <v>53</v>
      </c>
      <c r="AJ39" s="190">
        <v>108</v>
      </c>
      <c r="AK39" s="190">
        <v>54</v>
      </c>
      <c r="AL39" s="155">
        <v>162</v>
      </c>
      <c r="AM39" s="190">
        <v>53</v>
      </c>
      <c r="AN39" s="191">
        <v>215</v>
      </c>
      <c r="AO39" s="157"/>
      <c r="AP39" s="154">
        <v>58</v>
      </c>
      <c r="AQ39" s="190">
        <v>57</v>
      </c>
      <c r="AR39" s="190">
        <v>115</v>
      </c>
      <c r="AS39" s="190">
        <v>56</v>
      </c>
      <c r="AT39" s="155">
        <v>171</v>
      </c>
      <c r="AU39" s="190">
        <v>56</v>
      </c>
      <c r="AV39" s="191">
        <v>227</v>
      </c>
      <c r="AW39" s="157"/>
      <c r="AX39" s="154">
        <v>70</v>
      </c>
      <c r="AY39" s="190">
        <v>65</v>
      </c>
      <c r="AZ39" s="190">
        <v>135</v>
      </c>
      <c r="BA39" s="190">
        <v>61</v>
      </c>
      <c r="BB39" s="155">
        <v>196</v>
      </c>
      <c r="BC39" s="190">
        <v>60</v>
      </c>
      <c r="BD39" s="191">
        <v>256</v>
      </c>
      <c r="BE39" s="154">
        <v>0</v>
      </c>
      <c r="BF39" s="190">
        <v>0</v>
      </c>
      <c r="BG39" s="190">
        <v>0</v>
      </c>
      <c r="BH39" s="190"/>
      <c r="BI39" s="155"/>
      <c r="BJ39" s="190"/>
      <c r="BK39" s="191"/>
    </row>
    <row r="40" spans="1:63" s="100" customFormat="1" x14ac:dyDescent="0.25">
      <c r="A40" s="89" t="s">
        <v>57</v>
      </c>
      <c r="B40" s="108">
        <v>6778</v>
      </c>
      <c r="C40" s="103">
        <v>14399</v>
      </c>
      <c r="D40" s="103">
        <v>21177</v>
      </c>
      <c r="E40" s="103">
        <v>0</v>
      </c>
      <c r="F40" s="103">
        <v>0</v>
      </c>
      <c r="G40" s="103">
        <v>0</v>
      </c>
      <c r="H40" s="104">
        <v>0</v>
      </c>
      <c r="I40" s="109"/>
      <c r="J40" s="108">
        <v>7975</v>
      </c>
      <c r="K40" s="103">
        <v>12024</v>
      </c>
      <c r="L40" s="103">
        <v>19999</v>
      </c>
      <c r="M40" s="103">
        <v>16742</v>
      </c>
      <c r="N40" s="103">
        <v>36741</v>
      </c>
      <c r="O40" s="103">
        <v>9761</v>
      </c>
      <c r="P40" s="104">
        <v>46502</v>
      </c>
      <c r="Q40" s="109"/>
      <c r="R40" s="108">
        <v>5959</v>
      </c>
      <c r="S40" s="103">
        <v>8354</v>
      </c>
      <c r="T40" s="103">
        <v>14313</v>
      </c>
      <c r="U40" s="103">
        <v>12857</v>
      </c>
      <c r="V40" s="103">
        <v>27170</v>
      </c>
      <c r="W40" s="103">
        <v>5901</v>
      </c>
      <c r="X40" s="104">
        <v>33071</v>
      </c>
      <c r="Y40" s="109"/>
      <c r="Z40" s="108">
        <v>6588</v>
      </c>
      <c r="AA40" s="103">
        <v>6235</v>
      </c>
      <c r="AB40" s="103">
        <v>12823</v>
      </c>
      <c r="AC40" s="103">
        <v>11637</v>
      </c>
      <c r="AD40" s="103">
        <v>24460</v>
      </c>
      <c r="AE40" s="103">
        <v>4712</v>
      </c>
      <c r="AF40" s="104">
        <v>29172</v>
      </c>
      <c r="AG40" s="109"/>
      <c r="AH40" s="108">
        <v>4389</v>
      </c>
      <c r="AI40" s="103">
        <v>4553</v>
      </c>
      <c r="AJ40" s="103">
        <v>8942</v>
      </c>
      <c r="AK40" s="103">
        <v>11964</v>
      </c>
      <c r="AL40" s="103">
        <v>20906</v>
      </c>
      <c r="AM40" s="103">
        <v>4860</v>
      </c>
      <c r="AN40" s="104">
        <v>25766</v>
      </c>
      <c r="AO40" s="109"/>
      <c r="AP40" s="108">
        <v>828</v>
      </c>
      <c r="AQ40" s="103">
        <v>3615</v>
      </c>
      <c r="AR40" s="103">
        <v>4443</v>
      </c>
      <c r="AS40" s="103">
        <v>6354</v>
      </c>
      <c r="AT40" s="103">
        <v>10797</v>
      </c>
      <c r="AU40" s="103">
        <v>6414</v>
      </c>
      <c r="AV40" s="104">
        <v>17211</v>
      </c>
      <c r="AW40" s="109"/>
      <c r="AX40" s="108">
        <v>1696</v>
      </c>
      <c r="AY40" s="103">
        <v>4785</v>
      </c>
      <c r="AZ40" s="103">
        <v>6481</v>
      </c>
      <c r="BA40" s="103">
        <v>8034</v>
      </c>
      <c r="BB40" s="103">
        <v>14515</v>
      </c>
      <c r="BC40" s="103">
        <v>2923</v>
      </c>
      <c r="BD40" s="104">
        <v>17438</v>
      </c>
      <c r="BE40" s="108">
        <v>0</v>
      </c>
      <c r="BF40" s="103">
        <v>0</v>
      </c>
      <c r="BG40" s="103">
        <v>0</v>
      </c>
      <c r="BH40" s="103"/>
      <c r="BI40" s="103"/>
      <c r="BJ40" s="103"/>
      <c r="BK40" s="104"/>
    </row>
    <row r="41" spans="1:63" ht="15" customHeight="1" outlineLevel="1" x14ac:dyDescent="0.25">
      <c r="A41" s="77" t="s">
        <v>58</v>
      </c>
      <c r="B41" s="107">
        <v>-2</v>
      </c>
      <c r="C41" s="116">
        <v>5</v>
      </c>
      <c r="D41" s="116">
        <v>3</v>
      </c>
      <c r="E41" s="116">
        <v>0</v>
      </c>
      <c r="F41" s="105">
        <v>0</v>
      </c>
      <c r="G41" s="116">
        <v>0</v>
      </c>
      <c r="H41" s="117">
        <v>0</v>
      </c>
      <c r="I41" s="110"/>
      <c r="J41" s="107">
        <v>-7</v>
      </c>
      <c r="K41" s="116">
        <v>0</v>
      </c>
      <c r="L41" s="116">
        <v>-7</v>
      </c>
      <c r="M41" s="116">
        <v>0</v>
      </c>
      <c r="N41" s="105">
        <v>-7</v>
      </c>
      <c r="O41" s="116">
        <v>0</v>
      </c>
      <c r="P41" s="117">
        <v>-7</v>
      </c>
      <c r="Q41" s="110"/>
      <c r="R41" s="107">
        <v>0</v>
      </c>
      <c r="S41" s="116">
        <v>250</v>
      </c>
      <c r="T41" s="116">
        <v>250</v>
      </c>
      <c r="U41" s="116">
        <v>0</v>
      </c>
      <c r="V41" s="105">
        <v>250</v>
      </c>
      <c r="W41" s="116">
        <v>3</v>
      </c>
      <c r="X41" s="117">
        <v>253</v>
      </c>
      <c r="Y41" s="110"/>
      <c r="Z41" s="107">
        <v>61</v>
      </c>
      <c r="AA41" s="116">
        <v>-1</v>
      </c>
      <c r="AB41" s="116">
        <v>60</v>
      </c>
      <c r="AC41" s="116">
        <v>1</v>
      </c>
      <c r="AD41" s="105">
        <v>61</v>
      </c>
      <c r="AE41" s="116">
        <v>2</v>
      </c>
      <c r="AF41" s="117">
        <v>63</v>
      </c>
      <c r="AG41" s="110"/>
      <c r="AH41" s="107">
        <v>0</v>
      </c>
      <c r="AI41" s="116">
        <v>0</v>
      </c>
      <c r="AJ41" s="116">
        <v>0</v>
      </c>
      <c r="AK41" s="116">
        <v>0</v>
      </c>
      <c r="AL41" s="105">
        <v>0</v>
      </c>
      <c r="AM41" s="116">
        <v>0</v>
      </c>
      <c r="AN41" s="117">
        <v>0</v>
      </c>
      <c r="AO41" s="110"/>
      <c r="AP41" s="107">
        <v>0</v>
      </c>
      <c r="AQ41" s="116">
        <v>0</v>
      </c>
      <c r="AR41" s="116">
        <v>0</v>
      </c>
      <c r="AS41" s="116">
        <v>0</v>
      </c>
      <c r="AT41" s="105">
        <v>0</v>
      </c>
      <c r="AU41" s="116">
        <v>0</v>
      </c>
      <c r="AV41" s="117">
        <v>0</v>
      </c>
      <c r="AW41" s="110"/>
      <c r="AX41" s="107">
        <v>0</v>
      </c>
      <c r="AY41" s="116">
        <v>0</v>
      </c>
      <c r="AZ41" s="116">
        <v>0</v>
      </c>
      <c r="BA41" s="116">
        <v>0</v>
      </c>
      <c r="BB41" s="105">
        <v>0</v>
      </c>
      <c r="BC41" s="116">
        <v>0</v>
      </c>
      <c r="BD41" s="117">
        <v>0</v>
      </c>
      <c r="BE41" s="107">
        <v>0</v>
      </c>
      <c r="BF41" s="116">
        <v>0</v>
      </c>
      <c r="BG41" s="116">
        <v>0</v>
      </c>
      <c r="BH41" s="116"/>
      <c r="BI41" s="105"/>
      <c r="BJ41" s="116"/>
      <c r="BK41" s="117"/>
    </row>
    <row r="42" spans="1:63" ht="15" customHeight="1" outlineLevel="1" x14ac:dyDescent="0.25">
      <c r="A42" s="77" t="s">
        <v>59</v>
      </c>
      <c r="B42" s="107">
        <v>821</v>
      </c>
      <c r="C42" s="116">
        <v>1101</v>
      </c>
      <c r="D42" s="116">
        <v>1922</v>
      </c>
      <c r="E42" s="116">
        <v>0</v>
      </c>
      <c r="F42" s="105">
        <v>0</v>
      </c>
      <c r="G42" s="116">
        <v>0</v>
      </c>
      <c r="H42" s="117">
        <v>0</v>
      </c>
      <c r="I42" s="110"/>
      <c r="J42" s="107">
        <v>700</v>
      </c>
      <c r="K42" s="116">
        <v>428</v>
      </c>
      <c r="L42" s="116">
        <v>1128</v>
      </c>
      <c r="M42" s="116">
        <v>547</v>
      </c>
      <c r="N42" s="105">
        <v>1675</v>
      </c>
      <c r="O42" s="116">
        <v>825</v>
      </c>
      <c r="P42" s="117">
        <v>2500</v>
      </c>
      <c r="Q42" s="110"/>
      <c r="R42" s="107">
        <v>303</v>
      </c>
      <c r="S42" s="116">
        <v>1048</v>
      </c>
      <c r="T42" s="116">
        <v>1351</v>
      </c>
      <c r="U42" s="116">
        <v>382</v>
      </c>
      <c r="V42" s="105">
        <v>1733</v>
      </c>
      <c r="W42" s="116">
        <v>415</v>
      </c>
      <c r="X42" s="117">
        <v>2148</v>
      </c>
      <c r="Y42" s="110"/>
      <c r="Z42" s="107">
        <v>196</v>
      </c>
      <c r="AA42" s="116">
        <v>259</v>
      </c>
      <c r="AB42" s="116">
        <v>455</v>
      </c>
      <c r="AC42" s="116">
        <v>291</v>
      </c>
      <c r="AD42" s="105">
        <v>746</v>
      </c>
      <c r="AE42" s="116">
        <v>284</v>
      </c>
      <c r="AF42" s="117">
        <v>1030</v>
      </c>
      <c r="AG42" s="110"/>
      <c r="AH42" s="107">
        <v>0</v>
      </c>
      <c r="AI42" s="116">
        <v>0</v>
      </c>
      <c r="AJ42" s="116">
        <v>0</v>
      </c>
      <c r="AK42" s="116">
        <v>0</v>
      </c>
      <c r="AL42" s="105">
        <v>0</v>
      </c>
      <c r="AM42" s="116">
        <v>0</v>
      </c>
      <c r="AN42" s="117">
        <v>0</v>
      </c>
      <c r="AO42" s="110"/>
      <c r="AP42" s="107">
        <v>0</v>
      </c>
      <c r="AQ42" s="116">
        <v>0</v>
      </c>
      <c r="AR42" s="116">
        <v>0</v>
      </c>
      <c r="AS42" s="116">
        <v>0</v>
      </c>
      <c r="AT42" s="105">
        <v>0</v>
      </c>
      <c r="AU42" s="116">
        <v>0</v>
      </c>
      <c r="AV42" s="117">
        <v>0</v>
      </c>
      <c r="AW42" s="110"/>
      <c r="AX42" s="107">
        <v>0</v>
      </c>
      <c r="AY42" s="116">
        <v>0</v>
      </c>
      <c r="AZ42" s="116">
        <v>0</v>
      </c>
      <c r="BA42" s="116">
        <v>0</v>
      </c>
      <c r="BB42" s="105">
        <v>0</v>
      </c>
      <c r="BC42" s="116">
        <v>0</v>
      </c>
      <c r="BD42" s="117">
        <v>0</v>
      </c>
      <c r="BE42" s="107">
        <v>0</v>
      </c>
      <c r="BF42" s="116">
        <v>0</v>
      </c>
      <c r="BG42" s="116">
        <v>0</v>
      </c>
      <c r="BH42" s="116"/>
      <c r="BI42" s="105"/>
      <c r="BJ42" s="116"/>
      <c r="BK42" s="117"/>
    </row>
    <row r="43" spans="1:63" ht="15" customHeight="1" outlineLevel="1" x14ac:dyDescent="0.25">
      <c r="A43" s="77" t="s">
        <v>60</v>
      </c>
      <c r="B43" s="107">
        <v>0</v>
      </c>
      <c r="C43" s="116">
        <v>0</v>
      </c>
      <c r="D43" s="116">
        <v>0</v>
      </c>
      <c r="E43" s="116">
        <v>0</v>
      </c>
      <c r="F43" s="105">
        <v>0</v>
      </c>
      <c r="G43" s="116">
        <v>0</v>
      </c>
      <c r="H43" s="117">
        <v>0</v>
      </c>
      <c r="I43" s="110"/>
      <c r="J43" s="107">
        <v>0</v>
      </c>
      <c r="K43" s="116">
        <v>0</v>
      </c>
      <c r="L43" s="116">
        <v>0</v>
      </c>
      <c r="M43" s="116">
        <v>0</v>
      </c>
      <c r="N43" s="105">
        <v>0</v>
      </c>
      <c r="O43" s="116">
        <v>0</v>
      </c>
      <c r="P43" s="117">
        <v>0</v>
      </c>
      <c r="Q43" s="110"/>
      <c r="R43" s="107">
        <v>0</v>
      </c>
      <c r="S43" s="116">
        <v>0</v>
      </c>
      <c r="T43" s="116">
        <v>0</v>
      </c>
      <c r="U43" s="116">
        <v>0</v>
      </c>
      <c r="V43" s="105">
        <v>0</v>
      </c>
      <c r="W43" s="116">
        <v>0</v>
      </c>
      <c r="X43" s="117">
        <v>0</v>
      </c>
      <c r="Y43" s="110"/>
      <c r="Z43" s="107">
        <v>0</v>
      </c>
      <c r="AA43" s="116">
        <v>0</v>
      </c>
      <c r="AB43" s="116">
        <v>0</v>
      </c>
      <c r="AC43" s="116">
        <v>0</v>
      </c>
      <c r="AD43" s="105">
        <v>0</v>
      </c>
      <c r="AE43" s="116">
        <v>0</v>
      </c>
      <c r="AF43" s="117">
        <v>0</v>
      </c>
      <c r="AG43" s="110"/>
      <c r="AH43" s="107">
        <v>0</v>
      </c>
      <c r="AI43" s="116">
        <v>0</v>
      </c>
      <c r="AJ43" s="116">
        <v>0</v>
      </c>
      <c r="AK43" s="116">
        <v>0</v>
      </c>
      <c r="AL43" s="105">
        <v>0</v>
      </c>
      <c r="AM43" s="116">
        <v>0</v>
      </c>
      <c r="AN43" s="117">
        <v>0</v>
      </c>
      <c r="AO43" s="110"/>
      <c r="AP43" s="107">
        <v>0</v>
      </c>
      <c r="AQ43" s="116">
        <v>0</v>
      </c>
      <c r="AR43" s="116">
        <v>0</v>
      </c>
      <c r="AS43" s="116">
        <v>0</v>
      </c>
      <c r="AT43" s="105">
        <v>0</v>
      </c>
      <c r="AU43" s="116">
        <v>0</v>
      </c>
      <c r="AV43" s="117">
        <v>0</v>
      </c>
      <c r="AW43" s="110"/>
      <c r="AX43" s="107">
        <v>0</v>
      </c>
      <c r="AY43" s="116">
        <v>0</v>
      </c>
      <c r="AZ43" s="116">
        <v>0</v>
      </c>
      <c r="BA43" s="116">
        <v>0</v>
      </c>
      <c r="BB43" s="105">
        <v>0</v>
      </c>
      <c r="BC43" s="116">
        <v>0</v>
      </c>
      <c r="BD43" s="117">
        <v>0</v>
      </c>
      <c r="BE43" s="107">
        <v>0</v>
      </c>
      <c r="BF43" s="116">
        <v>0</v>
      </c>
      <c r="BG43" s="116">
        <v>0</v>
      </c>
      <c r="BH43" s="116"/>
      <c r="BI43" s="105"/>
      <c r="BJ43" s="116"/>
      <c r="BK43" s="117"/>
    </row>
    <row r="44" spans="1:63" ht="15" customHeight="1" outlineLevel="1" x14ac:dyDescent="0.25">
      <c r="A44" s="77" t="s">
        <v>61</v>
      </c>
      <c r="B44" s="107">
        <v>0</v>
      </c>
      <c r="C44" s="116">
        <v>0</v>
      </c>
      <c r="D44" s="116">
        <v>0</v>
      </c>
      <c r="E44" s="116">
        <v>0</v>
      </c>
      <c r="F44" s="105">
        <v>0</v>
      </c>
      <c r="G44" s="116">
        <v>0</v>
      </c>
      <c r="H44" s="117">
        <v>0</v>
      </c>
      <c r="I44" s="110"/>
      <c r="J44" s="107">
        <v>0</v>
      </c>
      <c r="K44" s="116">
        <v>0</v>
      </c>
      <c r="L44" s="116">
        <v>0</v>
      </c>
      <c r="M44" s="116">
        <v>0</v>
      </c>
      <c r="N44" s="105">
        <v>0</v>
      </c>
      <c r="O44" s="116">
        <v>0</v>
      </c>
      <c r="P44" s="117">
        <v>0</v>
      </c>
      <c r="Q44" s="110"/>
      <c r="R44" s="107">
        <v>0</v>
      </c>
      <c r="S44" s="116">
        <v>0</v>
      </c>
      <c r="T44" s="116">
        <v>0</v>
      </c>
      <c r="U44" s="116">
        <v>0</v>
      </c>
      <c r="V44" s="105">
        <v>0</v>
      </c>
      <c r="W44" s="116">
        <v>0</v>
      </c>
      <c r="X44" s="117">
        <v>0</v>
      </c>
      <c r="Y44" s="110"/>
      <c r="Z44" s="107">
        <v>0</v>
      </c>
      <c r="AA44" s="116">
        <v>0</v>
      </c>
      <c r="AB44" s="116">
        <v>0</v>
      </c>
      <c r="AC44" s="116">
        <v>0</v>
      </c>
      <c r="AD44" s="105">
        <v>0</v>
      </c>
      <c r="AE44" s="116">
        <v>0</v>
      </c>
      <c r="AF44" s="117">
        <v>0</v>
      </c>
      <c r="AG44" s="110"/>
      <c r="AH44" s="107">
        <v>92</v>
      </c>
      <c r="AI44" s="116">
        <v>119</v>
      </c>
      <c r="AJ44" s="116">
        <v>211</v>
      </c>
      <c r="AK44" s="116">
        <v>123</v>
      </c>
      <c r="AL44" s="105">
        <v>334</v>
      </c>
      <c r="AM44" s="116">
        <v>190</v>
      </c>
      <c r="AN44" s="117">
        <v>524</v>
      </c>
      <c r="AO44" s="110"/>
      <c r="AP44" s="107">
        <v>100</v>
      </c>
      <c r="AQ44" s="116">
        <v>104</v>
      </c>
      <c r="AR44" s="116">
        <v>204</v>
      </c>
      <c r="AS44" s="116">
        <v>110</v>
      </c>
      <c r="AT44" s="105">
        <v>314</v>
      </c>
      <c r="AU44" s="116">
        <v>111</v>
      </c>
      <c r="AV44" s="117">
        <v>425</v>
      </c>
      <c r="AW44" s="110"/>
      <c r="AX44" s="107">
        <v>61</v>
      </c>
      <c r="AY44" s="116">
        <v>73</v>
      </c>
      <c r="AZ44" s="116">
        <v>134</v>
      </c>
      <c r="BA44" s="116">
        <v>79</v>
      </c>
      <c r="BB44" s="105">
        <v>213</v>
      </c>
      <c r="BC44" s="116">
        <v>91</v>
      </c>
      <c r="BD44" s="117">
        <v>304</v>
      </c>
      <c r="BE44" s="107">
        <v>0</v>
      </c>
      <c r="BF44" s="116">
        <v>0</v>
      </c>
      <c r="BG44" s="116">
        <v>0</v>
      </c>
      <c r="BH44" s="116"/>
      <c r="BI44" s="105"/>
      <c r="BJ44" s="116"/>
      <c r="BK44" s="117"/>
    </row>
    <row r="45" spans="1:63" ht="15" customHeight="1" outlineLevel="1" x14ac:dyDescent="0.25">
      <c r="A45" s="77" t="s">
        <v>62</v>
      </c>
      <c r="B45" s="107">
        <v>1025</v>
      </c>
      <c r="C45" s="116">
        <v>-1</v>
      </c>
      <c r="D45" s="116">
        <v>1024</v>
      </c>
      <c r="E45" s="116">
        <v>0</v>
      </c>
      <c r="F45" s="105">
        <v>0</v>
      </c>
      <c r="G45" s="116">
        <v>0</v>
      </c>
      <c r="H45" s="117">
        <v>0</v>
      </c>
      <c r="I45" s="110"/>
      <c r="J45" s="107">
        <v>0</v>
      </c>
      <c r="K45" s="116">
        <v>0</v>
      </c>
      <c r="L45" s="116">
        <v>0</v>
      </c>
      <c r="M45" s="116">
        <v>0</v>
      </c>
      <c r="N45" s="105">
        <v>0</v>
      </c>
      <c r="O45" s="116">
        <v>0</v>
      </c>
      <c r="P45" s="117">
        <v>0</v>
      </c>
      <c r="Q45" s="110"/>
      <c r="R45" s="107">
        <v>0</v>
      </c>
      <c r="S45" s="116">
        <v>0</v>
      </c>
      <c r="T45" s="116">
        <v>0</v>
      </c>
      <c r="U45" s="116">
        <v>0</v>
      </c>
      <c r="V45" s="105">
        <v>0</v>
      </c>
      <c r="W45" s="116">
        <v>0</v>
      </c>
      <c r="X45" s="117">
        <v>0</v>
      </c>
      <c r="Y45" s="110"/>
      <c r="Z45" s="107">
        <v>0</v>
      </c>
      <c r="AA45" s="116">
        <v>0</v>
      </c>
      <c r="AB45" s="116">
        <v>0</v>
      </c>
      <c r="AC45" s="116">
        <v>0</v>
      </c>
      <c r="AD45" s="105">
        <v>0</v>
      </c>
      <c r="AE45" s="116">
        <v>0</v>
      </c>
      <c r="AF45" s="117">
        <v>0</v>
      </c>
      <c r="AG45" s="110"/>
      <c r="AH45" s="107">
        <v>0</v>
      </c>
      <c r="AI45" s="116">
        <v>0</v>
      </c>
      <c r="AJ45" s="116">
        <v>0</v>
      </c>
      <c r="AK45" s="116">
        <v>0</v>
      </c>
      <c r="AL45" s="105">
        <v>0</v>
      </c>
      <c r="AM45" s="116">
        <v>0</v>
      </c>
      <c r="AN45" s="117">
        <v>0</v>
      </c>
      <c r="AO45" s="110"/>
      <c r="AP45" s="107">
        <v>0</v>
      </c>
      <c r="AQ45" s="116">
        <v>0</v>
      </c>
      <c r="AR45" s="116">
        <v>0</v>
      </c>
      <c r="AS45" s="116">
        <v>0</v>
      </c>
      <c r="AT45" s="105">
        <v>0</v>
      </c>
      <c r="AU45" s="116">
        <v>0</v>
      </c>
      <c r="AV45" s="117">
        <v>0</v>
      </c>
      <c r="AW45" s="110"/>
      <c r="AX45" s="107">
        <v>0</v>
      </c>
      <c r="AY45" s="116">
        <v>0</v>
      </c>
      <c r="AZ45" s="116">
        <v>0</v>
      </c>
      <c r="BA45" s="116">
        <v>0</v>
      </c>
      <c r="BB45" s="105">
        <v>0</v>
      </c>
      <c r="BC45" s="116">
        <v>0</v>
      </c>
      <c r="BD45" s="117">
        <v>0</v>
      </c>
      <c r="BE45" s="107">
        <v>0</v>
      </c>
      <c r="BF45" s="116">
        <v>0</v>
      </c>
      <c r="BG45" s="116">
        <v>0</v>
      </c>
      <c r="BH45" s="116"/>
      <c r="BI45" s="105"/>
      <c r="BJ45" s="116"/>
      <c r="BK45" s="117"/>
    </row>
    <row r="46" spans="1:63" ht="15" customHeight="1" outlineLevel="1" x14ac:dyDescent="0.25">
      <c r="A46" s="77" t="s">
        <v>63</v>
      </c>
      <c r="B46" s="107">
        <v>0</v>
      </c>
      <c r="C46" s="116">
        <v>0</v>
      </c>
      <c r="D46" s="116">
        <v>0</v>
      </c>
      <c r="E46" s="116">
        <v>0</v>
      </c>
      <c r="F46" s="105">
        <v>0</v>
      </c>
      <c r="G46" s="116">
        <v>0</v>
      </c>
      <c r="H46" s="117">
        <v>0</v>
      </c>
      <c r="I46" s="110"/>
      <c r="J46" s="107">
        <v>0</v>
      </c>
      <c r="K46" s="116">
        <v>0</v>
      </c>
      <c r="L46" s="116">
        <v>0</v>
      </c>
      <c r="M46" s="116">
        <v>0</v>
      </c>
      <c r="N46" s="105">
        <v>0</v>
      </c>
      <c r="O46" s="116">
        <v>0</v>
      </c>
      <c r="P46" s="117">
        <v>0</v>
      </c>
      <c r="Q46" s="110"/>
      <c r="R46" s="107">
        <v>0</v>
      </c>
      <c r="S46" s="116">
        <v>0</v>
      </c>
      <c r="T46" s="116">
        <v>0</v>
      </c>
      <c r="U46" s="116">
        <v>0</v>
      </c>
      <c r="V46" s="105">
        <v>0</v>
      </c>
      <c r="W46" s="116">
        <v>0</v>
      </c>
      <c r="X46" s="117">
        <v>0</v>
      </c>
      <c r="Y46" s="110"/>
      <c r="Z46" s="107">
        <v>0</v>
      </c>
      <c r="AA46" s="116">
        <v>0</v>
      </c>
      <c r="AB46" s="116">
        <v>0</v>
      </c>
      <c r="AC46" s="116">
        <v>0</v>
      </c>
      <c r="AD46" s="105">
        <v>0</v>
      </c>
      <c r="AE46" s="116">
        <v>0</v>
      </c>
      <c r="AF46" s="117">
        <v>0</v>
      </c>
      <c r="AG46" s="110"/>
      <c r="AH46" s="107">
        <v>0</v>
      </c>
      <c r="AI46" s="116">
        <v>0</v>
      </c>
      <c r="AJ46" s="116">
        <v>0</v>
      </c>
      <c r="AK46" s="116">
        <v>0</v>
      </c>
      <c r="AL46" s="105">
        <v>0</v>
      </c>
      <c r="AM46" s="116">
        <v>0</v>
      </c>
      <c r="AN46" s="117">
        <v>0</v>
      </c>
      <c r="AO46" s="110"/>
      <c r="AP46" s="107">
        <v>0</v>
      </c>
      <c r="AQ46" s="116">
        <v>0</v>
      </c>
      <c r="AR46" s="116">
        <v>0</v>
      </c>
      <c r="AS46" s="116">
        <v>0</v>
      </c>
      <c r="AT46" s="105">
        <v>0</v>
      </c>
      <c r="AU46" s="116">
        <v>0</v>
      </c>
      <c r="AV46" s="117">
        <v>0</v>
      </c>
      <c r="AW46" s="110"/>
      <c r="AX46" s="107">
        <v>0</v>
      </c>
      <c r="AY46" s="116">
        <v>0</v>
      </c>
      <c r="AZ46" s="116">
        <v>0</v>
      </c>
      <c r="BA46" s="116">
        <v>0</v>
      </c>
      <c r="BB46" s="105">
        <v>0</v>
      </c>
      <c r="BC46" s="116">
        <v>0</v>
      </c>
      <c r="BD46" s="117">
        <v>0</v>
      </c>
      <c r="BE46" s="107">
        <v>0</v>
      </c>
      <c r="BF46" s="116">
        <v>0</v>
      </c>
      <c r="BG46" s="116">
        <v>0</v>
      </c>
      <c r="BH46" s="116"/>
      <c r="BI46" s="105"/>
      <c r="BJ46" s="116"/>
      <c r="BK46" s="117"/>
    </row>
    <row r="47" spans="1:63" ht="15" customHeight="1" outlineLevel="1" x14ac:dyDescent="0.25">
      <c r="A47" s="77" t="s">
        <v>14</v>
      </c>
      <c r="B47" s="107">
        <v>0</v>
      </c>
      <c r="C47" s="116">
        <v>0</v>
      </c>
      <c r="D47" s="116">
        <v>0</v>
      </c>
      <c r="E47" s="116">
        <v>0</v>
      </c>
      <c r="F47" s="105">
        <v>0</v>
      </c>
      <c r="G47" s="116">
        <v>0</v>
      </c>
      <c r="H47" s="117">
        <v>0</v>
      </c>
      <c r="I47" s="110"/>
      <c r="J47" s="107">
        <v>125</v>
      </c>
      <c r="K47" s="116">
        <v>125</v>
      </c>
      <c r="L47" s="116">
        <v>250</v>
      </c>
      <c r="M47" s="116">
        <v>58</v>
      </c>
      <c r="N47" s="105">
        <v>308</v>
      </c>
      <c r="O47" s="116">
        <v>0</v>
      </c>
      <c r="P47" s="117">
        <v>308</v>
      </c>
      <c r="Q47" s="110"/>
      <c r="R47" s="107">
        <v>125</v>
      </c>
      <c r="S47" s="116">
        <v>125</v>
      </c>
      <c r="T47" s="116">
        <v>250</v>
      </c>
      <c r="U47" s="116">
        <v>125</v>
      </c>
      <c r="V47" s="105">
        <v>375</v>
      </c>
      <c r="W47" s="116">
        <v>125</v>
      </c>
      <c r="X47" s="117">
        <v>500</v>
      </c>
      <c r="Y47" s="110"/>
      <c r="Z47" s="107">
        <v>125</v>
      </c>
      <c r="AA47" s="116">
        <v>125</v>
      </c>
      <c r="AB47" s="116">
        <v>250</v>
      </c>
      <c r="AC47" s="116">
        <v>125</v>
      </c>
      <c r="AD47" s="105">
        <v>375</v>
      </c>
      <c r="AE47" s="116">
        <v>125</v>
      </c>
      <c r="AF47" s="117">
        <v>500</v>
      </c>
      <c r="AG47" s="110"/>
      <c r="AH47" s="107">
        <v>125</v>
      </c>
      <c r="AI47" s="116">
        <v>125</v>
      </c>
      <c r="AJ47" s="116">
        <v>250</v>
      </c>
      <c r="AK47" s="116">
        <v>125</v>
      </c>
      <c r="AL47" s="105">
        <v>375</v>
      </c>
      <c r="AM47" s="116">
        <v>125</v>
      </c>
      <c r="AN47" s="117">
        <v>500</v>
      </c>
      <c r="AO47" s="110"/>
      <c r="AP47" s="107">
        <v>125</v>
      </c>
      <c r="AQ47" s="116">
        <v>125</v>
      </c>
      <c r="AR47" s="116">
        <v>250</v>
      </c>
      <c r="AS47" s="116">
        <v>125</v>
      </c>
      <c r="AT47" s="105">
        <v>375</v>
      </c>
      <c r="AU47" s="116">
        <v>0</v>
      </c>
      <c r="AV47" s="117">
        <v>375</v>
      </c>
      <c r="AW47" s="110"/>
      <c r="AX47" s="107">
        <v>121</v>
      </c>
      <c r="AY47" s="116">
        <v>125</v>
      </c>
      <c r="AZ47" s="116">
        <v>246</v>
      </c>
      <c r="BA47" s="116">
        <v>125</v>
      </c>
      <c r="BB47" s="105">
        <v>371</v>
      </c>
      <c r="BC47" s="116">
        <v>125</v>
      </c>
      <c r="BD47" s="117">
        <v>496</v>
      </c>
      <c r="BE47" s="107">
        <v>0</v>
      </c>
      <c r="BF47" s="116">
        <v>0</v>
      </c>
      <c r="BG47" s="105">
        <v>0</v>
      </c>
      <c r="BH47" s="116"/>
      <c r="BI47" s="105"/>
      <c r="BJ47" s="116"/>
      <c r="BK47" s="117"/>
    </row>
    <row r="48" spans="1:63" ht="17.25" customHeight="1" outlineLevel="1" x14ac:dyDescent="0.4">
      <c r="A48" s="77" t="s">
        <v>34</v>
      </c>
      <c r="B48" s="111">
        <v>0</v>
      </c>
      <c r="C48" s="112">
        <v>0</v>
      </c>
      <c r="D48" s="112">
        <v>0</v>
      </c>
      <c r="E48" s="112">
        <v>0</v>
      </c>
      <c r="F48" s="112">
        <v>0</v>
      </c>
      <c r="G48" s="112">
        <v>0</v>
      </c>
      <c r="H48" s="113">
        <v>0</v>
      </c>
      <c r="I48" s="110"/>
      <c r="J48" s="111">
        <v>0</v>
      </c>
      <c r="K48" s="112">
        <v>0</v>
      </c>
      <c r="L48" s="112">
        <v>0</v>
      </c>
      <c r="M48" s="112">
        <v>0</v>
      </c>
      <c r="N48" s="112">
        <v>0</v>
      </c>
      <c r="O48" s="112">
        <v>0</v>
      </c>
      <c r="P48" s="113">
        <v>0</v>
      </c>
      <c r="Q48" s="110"/>
      <c r="R48" s="111">
        <v>0</v>
      </c>
      <c r="S48" s="112">
        <v>0</v>
      </c>
      <c r="T48" s="112">
        <v>0</v>
      </c>
      <c r="U48" s="112">
        <v>0</v>
      </c>
      <c r="V48" s="112">
        <v>0</v>
      </c>
      <c r="W48" s="112">
        <v>0</v>
      </c>
      <c r="X48" s="113">
        <v>0</v>
      </c>
      <c r="Y48" s="110"/>
      <c r="Z48" s="111">
        <v>0</v>
      </c>
      <c r="AA48" s="112">
        <v>0</v>
      </c>
      <c r="AB48" s="112">
        <v>0</v>
      </c>
      <c r="AC48" s="112">
        <v>0</v>
      </c>
      <c r="AD48" s="112">
        <v>0</v>
      </c>
      <c r="AE48" s="112">
        <v>0</v>
      </c>
      <c r="AF48" s="113">
        <v>0</v>
      </c>
      <c r="AG48" s="110"/>
      <c r="AH48" s="111">
        <v>0</v>
      </c>
      <c r="AI48" s="112">
        <v>0</v>
      </c>
      <c r="AJ48" s="112">
        <v>0</v>
      </c>
      <c r="AK48" s="112">
        <v>0</v>
      </c>
      <c r="AL48" s="112">
        <v>0</v>
      </c>
      <c r="AM48" s="112">
        <v>-8</v>
      </c>
      <c r="AN48" s="113">
        <v>-8</v>
      </c>
      <c r="AO48" s="110"/>
      <c r="AP48" s="111">
        <v>0</v>
      </c>
      <c r="AQ48" s="112">
        <v>0</v>
      </c>
      <c r="AR48" s="112">
        <v>0</v>
      </c>
      <c r="AS48" s="112">
        <v>14</v>
      </c>
      <c r="AT48" s="112">
        <v>14</v>
      </c>
      <c r="AU48" s="112">
        <v>-58</v>
      </c>
      <c r="AV48" s="113">
        <v>-44</v>
      </c>
      <c r="AW48" s="110"/>
      <c r="AX48" s="111">
        <v>0</v>
      </c>
      <c r="AY48" s="112">
        <v>0</v>
      </c>
      <c r="AZ48" s="112">
        <v>0</v>
      </c>
      <c r="BA48" s="112">
        <v>0</v>
      </c>
      <c r="BB48" s="112">
        <v>0</v>
      </c>
      <c r="BC48" s="112">
        <v>22</v>
      </c>
      <c r="BD48" s="113">
        <v>22</v>
      </c>
      <c r="BE48" s="111">
        <v>0</v>
      </c>
      <c r="BF48" s="112">
        <v>0</v>
      </c>
      <c r="BG48" s="112">
        <v>0</v>
      </c>
      <c r="BH48" s="112"/>
      <c r="BI48" s="112"/>
      <c r="BJ48" s="112"/>
      <c r="BK48" s="113"/>
    </row>
    <row r="49" spans="1:63" s="100" customFormat="1" x14ac:dyDescent="0.25">
      <c r="A49" s="89" t="s">
        <v>65</v>
      </c>
      <c r="B49" s="108">
        <v>8622</v>
      </c>
      <c r="C49" s="118">
        <v>15504</v>
      </c>
      <c r="D49" s="118">
        <v>24126</v>
      </c>
      <c r="E49" s="118">
        <v>0</v>
      </c>
      <c r="F49" s="118">
        <v>0</v>
      </c>
      <c r="G49" s="118">
        <v>0</v>
      </c>
      <c r="H49" s="119">
        <v>0</v>
      </c>
      <c r="I49" s="109"/>
      <c r="J49" s="108">
        <v>8793</v>
      </c>
      <c r="K49" s="118">
        <v>12577</v>
      </c>
      <c r="L49" s="118">
        <v>21370</v>
      </c>
      <c r="M49" s="118">
        <v>17347</v>
      </c>
      <c r="N49" s="118">
        <v>38717</v>
      </c>
      <c r="O49" s="118">
        <v>10586</v>
      </c>
      <c r="P49" s="119">
        <v>49303</v>
      </c>
      <c r="Q49" s="109"/>
      <c r="R49" s="108">
        <v>6387</v>
      </c>
      <c r="S49" s="118">
        <v>9777</v>
      </c>
      <c r="T49" s="118">
        <v>16164</v>
      </c>
      <c r="U49" s="118">
        <v>13364</v>
      </c>
      <c r="V49" s="118">
        <v>29528</v>
      </c>
      <c r="W49" s="118">
        <v>6444</v>
      </c>
      <c r="X49" s="119">
        <v>35972</v>
      </c>
      <c r="Y49" s="109"/>
      <c r="Z49" s="108">
        <v>6970</v>
      </c>
      <c r="AA49" s="118">
        <v>6618</v>
      </c>
      <c r="AB49" s="118">
        <v>13588</v>
      </c>
      <c r="AC49" s="118">
        <v>12054</v>
      </c>
      <c r="AD49" s="118">
        <v>25642</v>
      </c>
      <c r="AE49" s="118">
        <v>5123</v>
      </c>
      <c r="AF49" s="119">
        <v>30765</v>
      </c>
      <c r="AG49" s="109"/>
      <c r="AH49" s="108">
        <v>4606</v>
      </c>
      <c r="AI49" s="118">
        <v>4797</v>
      </c>
      <c r="AJ49" s="118">
        <v>9403</v>
      </c>
      <c r="AK49" s="118">
        <v>12212</v>
      </c>
      <c r="AL49" s="118">
        <v>21615</v>
      </c>
      <c r="AM49" s="118">
        <v>5167</v>
      </c>
      <c r="AN49" s="119">
        <v>26782</v>
      </c>
      <c r="AO49" s="109"/>
      <c r="AP49" s="108">
        <v>1053</v>
      </c>
      <c r="AQ49" s="118">
        <v>3844</v>
      </c>
      <c r="AR49" s="118">
        <v>4897</v>
      </c>
      <c r="AS49" s="118">
        <v>6603</v>
      </c>
      <c r="AT49" s="118">
        <v>11500</v>
      </c>
      <c r="AU49" s="118">
        <v>6467</v>
      </c>
      <c r="AV49" s="119">
        <v>17967</v>
      </c>
      <c r="AW49" s="109"/>
      <c r="AX49" s="108">
        <v>1878</v>
      </c>
      <c r="AY49" s="118">
        <v>4983</v>
      </c>
      <c r="AZ49" s="118">
        <v>6861</v>
      </c>
      <c r="BA49" s="118">
        <v>8238</v>
      </c>
      <c r="BB49" s="118">
        <v>15099</v>
      </c>
      <c r="BC49" s="118">
        <v>3161</v>
      </c>
      <c r="BD49" s="119">
        <v>18260</v>
      </c>
      <c r="BE49" s="108">
        <v>0</v>
      </c>
      <c r="BF49" s="118">
        <v>0</v>
      </c>
      <c r="BG49" s="103">
        <v>0</v>
      </c>
      <c r="BH49" s="118"/>
      <c r="BI49" s="103"/>
      <c r="BJ49" s="118"/>
      <c r="BK49" s="104"/>
    </row>
    <row r="50" spans="1:63" x14ac:dyDescent="0.25">
      <c r="A50" s="77"/>
      <c r="B50" s="108"/>
      <c r="C50" s="110"/>
      <c r="D50" s="110"/>
      <c r="E50" s="110"/>
      <c r="F50" s="110"/>
      <c r="G50" s="110"/>
      <c r="H50" s="120"/>
      <c r="I50" s="77"/>
      <c r="J50" s="108"/>
      <c r="K50" s="110"/>
      <c r="L50" s="110"/>
      <c r="M50" s="110"/>
      <c r="N50" s="110"/>
      <c r="O50" s="110"/>
      <c r="P50" s="120"/>
      <c r="Q50" s="77"/>
      <c r="R50" s="108"/>
      <c r="S50" s="110"/>
      <c r="T50" s="110"/>
      <c r="U50" s="110"/>
      <c r="V50" s="110"/>
      <c r="W50" s="110"/>
      <c r="X50" s="120"/>
      <c r="Y50" s="110"/>
      <c r="Z50" s="108"/>
      <c r="AA50" s="110"/>
      <c r="AB50" s="110"/>
      <c r="AC50" s="110"/>
      <c r="AD50" s="110"/>
      <c r="AE50" s="110"/>
      <c r="AF50" s="120"/>
      <c r="AG50" s="110"/>
      <c r="AH50" s="108"/>
      <c r="AI50" s="110"/>
      <c r="AJ50" s="110"/>
      <c r="AK50" s="110"/>
      <c r="AL50" s="110"/>
      <c r="AM50" s="110"/>
      <c r="AN50" s="120"/>
      <c r="AO50" s="110"/>
      <c r="AP50" s="108"/>
      <c r="AQ50" s="110"/>
      <c r="AR50" s="110"/>
      <c r="AS50" s="110"/>
      <c r="AT50" s="110"/>
      <c r="AU50" s="110"/>
      <c r="AV50" s="120"/>
      <c r="AW50" s="110"/>
      <c r="AX50" s="108"/>
      <c r="AY50" s="110"/>
      <c r="AZ50" s="110"/>
      <c r="BA50" s="110"/>
      <c r="BB50" s="110"/>
      <c r="BC50" s="110"/>
      <c r="BD50" s="120"/>
      <c r="BE50" s="108"/>
      <c r="BF50" s="110"/>
      <c r="BG50" s="110"/>
      <c r="BH50" s="110"/>
      <c r="BI50" s="110"/>
      <c r="BJ50" s="110"/>
      <c r="BK50" s="120"/>
    </row>
    <row r="51" spans="1:63" x14ac:dyDescent="0.25">
      <c r="A51" s="77"/>
      <c r="B51" s="108"/>
      <c r="C51" s="110"/>
      <c r="D51" s="110"/>
      <c r="E51" s="110"/>
      <c r="F51" s="110"/>
      <c r="G51" s="110"/>
      <c r="H51" s="120"/>
      <c r="I51" s="77"/>
      <c r="J51" s="108"/>
      <c r="K51" s="110"/>
      <c r="L51" s="110"/>
      <c r="M51" s="110"/>
      <c r="N51" s="110"/>
      <c r="O51" s="110"/>
      <c r="P51" s="120"/>
      <c r="Q51" s="77"/>
      <c r="R51" s="108"/>
      <c r="S51" s="110"/>
      <c r="T51" s="110"/>
      <c r="U51" s="110"/>
      <c r="V51" s="110"/>
      <c r="W51" s="110"/>
      <c r="X51" s="120"/>
      <c r="Y51" s="110"/>
      <c r="Z51" s="108"/>
      <c r="AA51" s="110"/>
      <c r="AB51" s="110"/>
      <c r="AC51" s="110"/>
      <c r="AD51" s="110"/>
      <c r="AE51" s="110"/>
      <c r="AF51" s="120"/>
      <c r="AG51" s="110"/>
      <c r="AH51" s="108"/>
      <c r="AI51" s="110"/>
      <c r="AJ51" s="110"/>
      <c r="AK51" s="110"/>
      <c r="AL51" s="110"/>
      <c r="AM51" s="110"/>
      <c r="AN51" s="120"/>
      <c r="AO51" s="110"/>
      <c r="AP51" s="108"/>
      <c r="AQ51" s="110"/>
      <c r="AR51" s="110"/>
      <c r="AS51" s="110"/>
      <c r="AT51" s="110"/>
      <c r="AU51" s="110"/>
      <c r="AV51" s="120"/>
      <c r="AW51" s="110"/>
      <c r="AX51" s="108"/>
      <c r="AY51" s="110"/>
      <c r="AZ51" s="110"/>
      <c r="BA51" s="110"/>
      <c r="BB51" s="110"/>
      <c r="BC51" s="110"/>
      <c r="BD51" s="120"/>
      <c r="BE51" s="108"/>
      <c r="BF51" s="110"/>
      <c r="BG51" s="110"/>
      <c r="BH51" s="110"/>
      <c r="BI51" s="110"/>
      <c r="BJ51" s="110"/>
      <c r="BK51" s="120"/>
    </row>
    <row r="52" spans="1:63" s="100" customFormat="1" x14ac:dyDescent="0.25">
      <c r="A52" s="89" t="s">
        <v>25</v>
      </c>
      <c r="B52" s="108">
        <v>223775</v>
      </c>
      <c r="C52" s="118">
        <v>236286</v>
      </c>
      <c r="D52" s="118"/>
      <c r="E52" s="118">
        <v>0</v>
      </c>
      <c r="F52" s="118"/>
      <c r="G52" s="118">
        <v>0</v>
      </c>
      <c r="H52" s="119"/>
      <c r="I52" s="109"/>
      <c r="J52" s="108">
        <v>147429</v>
      </c>
      <c r="K52" s="118">
        <v>174475</v>
      </c>
      <c r="L52" s="118"/>
      <c r="M52" s="118">
        <v>167964</v>
      </c>
      <c r="N52" s="118"/>
      <c r="O52" s="118">
        <v>157729</v>
      </c>
      <c r="P52" s="119"/>
      <c r="Q52" s="109"/>
      <c r="R52" s="108">
        <v>132665</v>
      </c>
      <c r="S52" s="118">
        <v>169775</v>
      </c>
      <c r="T52" s="118"/>
      <c r="U52" s="118">
        <v>157795</v>
      </c>
      <c r="V52" s="118"/>
      <c r="W52" s="118">
        <v>142121</v>
      </c>
      <c r="X52" s="119"/>
      <c r="Y52" s="109"/>
      <c r="Z52" s="108">
        <v>133054</v>
      </c>
      <c r="AA52" s="118">
        <v>146062</v>
      </c>
      <c r="AB52" s="118"/>
      <c r="AC52" s="118">
        <v>142076</v>
      </c>
      <c r="AD52" s="118"/>
      <c r="AE52" s="118">
        <v>129955</v>
      </c>
      <c r="AF52" s="119"/>
      <c r="AG52" s="109"/>
      <c r="AH52" s="108">
        <v>120729</v>
      </c>
      <c r="AI52" s="118">
        <v>132308</v>
      </c>
      <c r="AJ52" s="118"/>
      <c r="AK52" s="118">
        <v>145890</v>
      </c>
      <c r="AL52" s="118"/>
      <c r="AM52" s="118">
        <v>130823</v>
      </c>
      <c r="AN52" s="119"/>
      <c r="AO52" s="109"/>
      <c r="AP52" s="108">
        <v>118747</v>
      </c>
      <c r="AQ52" s="118">
        <v>127951</v>
      </c>
      <c r="AR52" s="118"/>
      <c r="AS52" s="118">
        <v>126594</v>
      </c>
      <c r="AT52" s="118"/>
      <c r="AU52" s="118">
        <v>119448</v>
      </c>
      <c r="AV52" s="119"/>
      <c r="AW52" s="109"/>
      <c r="AX52" s="108">
        <v>102776</v>
      </c>
      <c r="AY52" s="118">
        <v>115088</v>
      </c>
      <c r="AZ52" s="118"/>
      <c r="BA52" s="118">
        <v>108546</v>
      </c>
      <c r="BB52" s="118"/>
      <c r="BC52" s="118">
        <v>122877</v>
      </c>
      <c r="BD52" s="119"/>
      <c r="BE52" s="108">
        <v>0</v>
      </c>
      <c r="BF52" s="103">
        <v>0</v>
      </c>
      <c r="BG52" s="118"/>
      <c r="BH52" s="103"/>
      <c r="BI52" s="118"/>
      <c r="BJ52" s="103"/>
      <c r="BK52" s="119"/>
    </row>
    <row r="53" spans="1:63" s="100" customFormat="1" ht="7.5" customHeight="1" x14ac:dyDescent="0.25">
      <c r="A53" s="89"/>
      <c r="B53" s="108"/>
      <c r="C53" s="118"/>
      <c r="D53" s="118"/>
      <c r="E53" s="109"/>
      <c r="F53" s="118"/>
      <c r="G53" s="118"/>
      <c r="H53" s="119"/>
      <c r="I53" s="110"/>
      <c r="J53" s="108"/>
      <c r="K53" s="118"/>
      <c r="L53" s="118"/>
      <c r="M53" s="109"/>
      <c r="N53" s="118"/>
      <c r="O53" s="118"/>
      <c r="P53" s="119"/>
      <c r="Q53" s="110"/>
      <c r="R53" s="108"/>
      <c r="S53" s="118"/>
      <c r="T53" s="118"/>
      <c r="U53" s="109"/>
      <c r="V53" s="118"/>
      <c r="W53" s="118"/>
      <c r="X53" s="119"/>
      <c r="Y53" s="110"/>
      <c r="Z53" s="108"/>
      <c r="AA53" s="118"/>
      <c r="AB53" s="118"/>
      <c r="AC53" s="109"/>
      <c r="AD53" s="118"/>
      <c r="AE53" s="118"/>
      <c r="AF53" s="119"/>
      <c r="AG53" s="110"/>
      <c r="AH53" s="108"/>
      <c r="AI53" s="118"/>
      <c r="AJ53" s="118"/>
      <c r="AK53" s="109"/>
      <c r="AL53" s="118"/>
      <c r="AM53" s="118"/>
      <c r="AN53" s="119"/>
      <c r="AO53" s="110"/>
      <c r="AP53" s="108"/>
      <c r="AQ53" s="118"/>
      <c r="AR53" s="118"/>
      <c r="AS53" s="109"/>
      <c r="AT53" s="118"/>
      <c r="AU53" s="118"/>
      <c r="AV53" s="119"/>
      <c r="AW53" s="110"/>
      <c r="AX53" s="108"/>
      <c r="AY53" s="118"/>
      <c r="AZ53" s="118"/>
      <c r="BA53" s="109"/>
      <c r="BB53" s="118"/>
      <c r="BC53" s="118"/>
      <c r="BD53" s="119"/>
      <c r="BE53" s="108"/>
      <c r="BF53" s="118"/>
      <c r="BG53" s="118"/>
      <c r="BH53" s="118"/>
      <c r="BI53" s="118"/>
      <c r="BJ53" s="118"/>
      <c r="BK53" s="119"/>
    </row>
    <row r="54" spans="1:63" ht="15" customHeight="1" outlineLevel="1" x14ac:dyDescent="0.25">
      <c r="A54" s="77" t="s">
        <v>26</v>
      </c>
      <c r="B54" s="107">
        <v>0</v>
      </c>
      <c r="C54" s="116">
        <v>0</v>
      </c>
      <c r="D54" s="105"/>
      <c r="E54" s="116">
        <v>0</v>
      </c>
      <c r="F54" s="105"/>
      <c r="G54" s="116">
        <v>0</v>
      </c>
      <c r="H54" s="106"/>
      <c r="I54" s="110"/>
      <c r="J54" s="107">
        <v>52990</v>
      </c>
      <c r="K54" s="116">
        <v>65741</v>
      </c>
      <c r="L54" s="105"/>
      <c r="M54" s="116">
        <v>0</v>
      </c>
      <c r="N54" s="105"/>
      <c r="O54" s="116">
        <v>0</v>
      </c>
      <c r="P54" s="106"/>
      <c r="Q54" s="110"/>
      <c r="R54" s="107">
        <v>10200</v>
      </c>
      <c r="S54" s="116">
        <v>82533</v>
      </c>
      <c r="T54" s="105"/>
      <c r="U54" s="116">
        <v>73656</v>
      </c>
      <c r="V54" s="105"/>
      <c r="W54" s="116">
        <v>59417</v>
      </c>
      <c r="X54" s="106"/>
      <c r="Y54" s="110"/>
      <c r="Z54" s="107">
        <v>30582</v>
      </c>
      <c r="AA54" s="116">
        <v>33148</v>
      </c>
      <c r="AB54" s="105"/>
      <c r="AC54" s="116">
        <v>28151</v>
      </c>
      <c r="AD54" s="105"/>
      <c r="AE54" s="116">
        <v>15348</v>
      </c>
      <c r="AF54" s="106"/>
      <c r="AG54" s="110"/>
      <c r="AH54" s="107">
        <v>39117</v>
      </c>
      <c r="AI54" s="116">
        <v>42196</v>
      </c>
      <c r="AJ54" s="105"/>
      <c r="AK54" s="116">
        <v>43111</v>
      </c>
      <c r="AL54" s="105"/>
      <c r="AM54" s="116">
        <v>33752</v>
      </c>
      <c r="AN54" s="106"/>
      <c r="AO54" s="110"/>
      <c r="AP54" s="107">
        <v>49093</v>
      </c>
      <c r="AQ54" s="116">
        <v>53922</v>
      </c>
      <c r="AR54" s="105"/>
      <c r="AS54" s="116">
        <v>50596</v>
      </c>
      <c r="AT54" s="105"/>
      <c r="AU54" s="116">
        <v>40772</v>
      </c>
      <c r="AV54" s="106"/>
      <c r="AW54" s="110"/>
      <c r="AX54" s="107">
        <v>55970</v>
      </c>
      <c r="AY54" s="116">
        <v>62256</v>
      </c>
      <c r="AZ54" s="105"/>
      <c r="BA54" s="116">
        <v>53125</v>
      </c>
      <c r="BB54" s="105"/>
      <c r="BC54" s="116">
        <v>50134</v>
      </c>
      <c r="BD54" s="106"/>
      <c r="BE54" s="107">
        <v>0</v>
      </c>
      <c r="BF54" s="105">
        <v>0</v>
      </c>
      <c r="BG54" s="105"/>
      <c r="BH54" s="105"/>
      <c r="BI54" s="105"/>
      <c r="BJ54" s="105"/>
      <c r="BK54" s="106"/>
    </row>
    <row r="55" spans="1:63" ht="15" customHeight="1" outlineLevel="1" x14ac:dyDescent="0.25">
      <c r="A55" s="77" t="s">
        <v>28</v>
      </c>
      <c r="B55" s="107">
        <v>125498</v>
      </c>
      <c r="C55" s="116">
        <v>124128</v>
      </c>
      <c r="D55" s="105"/>
      <c r="E55" s="116">
        <v>0</v>
      </c>
      <c r="F55" s="105"/>
      <c r="G55" s="116">
        <v>0</v>
      </c>
      <c r="H55" s="106"/>
      <c r="I55" s="110"/>
      <c r="J55" s="107">
        <v>60610</v>
      </c>
      <c r="K55" s="116">
        <v>68732</v>
      </c>
      <c r="L55" s="105"/>
      <c r="M55" s="116">
        <v>81379</v>
      </c>
      <c r="N55" s="105"/>
      <c r="O55" s="116">
        <v>65437</v>
      </c>
      <c r="P55" s="106"/>
      <c r="Q55" s="110"/>
      <c r="R55" s="107">
        <v>51428</v>
      </c>
      <c r="S55" s="116">
        <v>65921</v>
      </c>
      <c r="T55" s="105"/>
      <c r="U55" s="116">
        <v>56724</v>
      </c>
      <c r="V55" s="105"/>
      <c r="W55" s="116">
        <v>53123</v>
      </c>
      <c r="X55" s="106"/>
      <c r="Y55" s="110"/>
      <c r="Z55" s="107">
        <v>46750</v>
      </c>
      <c r="AA55" s="116">
        <v>54322</v>
      </c>
      <c r="AB55" s="105"/>
      <c r="AC55" s="116">
        <v>48681</v>
      </c>
      <c r="AD55" s="105"/>
      <c r="AE55" s="116">
        <v>47313</v>
      </c>
      <c r="AF55" s="106"/>
      <c r="AG55" s="110"/>
      <c r="AH55" s="107">
        <v>37903</v>
      </c>
      <c r="AI55" s="116">
        <v>44783</v>
      </c>
      <c r="AJ55" s="105"/>
      <c r="AK55" s="116">
        <v>51204</v>
      </c>
      <c r="AL55" s="105"/>
      <c r="AM55" s="116">
        <v>44344</v>
      </c>
      <c r="AN55" s="106"/>
      <c r="AO55" s="110"/>
      <c r="AP55" s="107">
        <v>33842</v>
      </c>
      <c r="AQ55" s="116">
        <v>37332</v>
      </c>
      <c r="AR55" s="105"/>
      <c r="AS55" s="116">
        <v>36484</v>
      </c>
      <c r="AT55" s="105"/>
      <c r="AU55" s="116">
        <v>36505</v>
      </c>
      <c r="AV55" s="106"/>
      <c r="AW55" s="110"/>
      <c r="AX55" s="107">
        <v>15649</v>
      </c>
      <c r="AY55" s="116">
        <v>20049</v>
      </c>
      <c r="AZ55" s="105"/>
      <c r="BA55" s="116">
        <v>19107</v>
      </c>
      <c r="BB55" s="105"/>
      <c r="BC55" s="116">
        <v>36025</v>
      </c>
      <c r="BD55" s="106"/>
      <c r="BE55" s="107">
        <v>0</v>
      </c>
      <c r="BF55" s="105">
        <v>0</v>
      </c>
      <c r="BG55" s="105"/>
      <c r="BH55" s="105"/>
      <c r="BI55" s="105"/>
      <c r="BJ55" s="105"/>
      <c r="BK55" s="106"/>
    </row>
    <row r="56" spans="1:63" s="100" customFormat="1" x14ac:dyDescent="0.25">
      <c r="A56" s="89" t="s">
        <v>29</v>
      </c>
      <c r="B56" s="108">
        <v>125498</v>
      </c>
      <c r="C56" s="118">
        <v>124128</v>
      </c>
      <c r="D56" s="103"/>
      <c r="E56" s="118">
        <v>0</v>
      </c>
      <c r="F56" s="103"/>
      <c r="G56" s="118">
        <v>0</v>
      </c>
      <c r="H56" s="104"/>
      <c r="I56" s="109"/>
      <c r="J56" s="108">
        <v>113600</v>
      </c>
      <c r="K56" s="118">
        <v>134473</v>
      </c>
      <c r="L56" s="103"/>
      <c r="M56" s="118">
        <v>81379</v>
      </c>
      <c r="N56" s="103"/>
      <c r="O56" s="118">
        <v>65437</v>
      </c>
      <c r="P56" s="104"/>
      <c r="Q56" s="109"/>
      <c r="R56" s="108">
        <v>61628</v>
      </c>
      <c r="S56" s="118">
        <v>148454</v>
      </c>
      <c r="T56" s="103"/>
      <c r="U56" s="118">
        <v>130380</v>
      </c>
      <c r="V56" s="103"/>
      <c r="W56" s="118">
        <v>112540</v>
      </c>
      <c r="X56" s="104"/>
      <c r="Y56" s="109"/>
      <c r="Z56" s="108">
        <v>77332</v>
      </c>
      <c r="AA56" s="118">
        <v>87470</v>
      </c>
      <c r="AB56" s="103"/>
      <c r="AC56" s="118">
        <v>76832</v>
      </c>
      <c r="AD56" s="103"/>
      <c r="AE56" s="118">
        <v>62661</v>
      </c>
      <c r="AF56" s="104"/>
      <c r="AG56" s="109"/>
      <c r="AH56" s="108">
        <v>77020</v>
      </c>
      <c r="AI56" s="118">
        <v>86979</v>
      </c>
      <c r="AJ56" s="103"/>
      <c r="AK56" s="118">
        <v>94315</v>
      </c>
      <c r="AL56" s="103"/>
      <c r="AM56" s="118">
        <v>78096</v>
      </c>
      <c r="AN56" s="104"/>
      <c r="AO56" s="109"/>
      <c r="AP56" s="108">
        <v>82935</v>
      </c>
      <c r="AQ56" s="118">
        <v>91254</v>
      </c>
      <c r="AR56" s="103"/>
      <c r="AS56" s="118">
        <v>87080</v>
      </c>
      <c r="AT56" s="103"/>
      <c r="AU56" s="118">
        <v>77277</v>
      </c>
      <c r="AV56" s="104"/>
      <c r="AW56" s="109"/>
      <c r="AX56" s="108">
        <v>71619</v>
      </c>
      <c r="AY56" s="118">
        <v>82305</v>
      </c>
      <c r="AZ56" s="103"/>
      <c r="BA56" s="118">
        <v>72232</v>
      </c>
      <c r="BB56" s="103"/>
      <c r="BC56" s="118">
        <v>86159</v>
      </c>
      <c r="BD56" s="104"/>
      <c r="BE56" s="108">
        <v>0</v>
      </c>
      <c r="BF56" s="103">
        <v>0</v>
      </c>
      <c r="BG56" s="103"/>
      <c r="BH56" s="103"/>
      <c r="BI56" s="103"/>
      <c r="BJ56" s="103"/>
      <c r="BK56" s="104"/>
    </row>
    <row r="57" spans="1:63" s="100" customFormat="1" ht="7.5" customHeight="1" x14ac:dyDescent="0.25">
      <c r="A57" s="89"/>
      <c r="B57" s="108"/>
      <c r="C57" s="118"/>
      <c r="D57" s="103"/>
      <c r="E57" s="118"/>
      <c r="F57" s="103"/>
      <c r="G57" s="118"/>
      <c r="H57" s="104"/>
      <c r="I57" s="110"/>
      <c r="J57" s="108"/>
      <c r="K57" s="118"/>
      <c r="L57" s="103"/>
      <c r="M57" s="118"/>
      <c r="N57" s="103"/>
      <c r="O57" s="118"/>
      <c r="P57" s="104"/>
      <c r="Q57" s="110"/>
      <c r="R57" s="108"/>
      <c r="S57" s="118"/>
      <c r="T57" s="103"/>
      <c r="U57" s="118"/>
      <c r="V57" s="103"/>
      <c r="W57" s="118"/>
      <c r="X57" s="104"/>
      <c r="Y57" s="110"/>
      <c r="Z57" s="108"/>
      <c r="AA57" s="118"/>
      <c r="AB57" s="103"/>
      <c r="AC57" s="118"/>
      <c r="AD57" s="103"/>
      <c r="AE57" s="118"/>
      <c r="AF57" s="104"/>
      <c r="AG57" s="110"/>
      <c r="AH57" s="108"/>
      <c r="AI57" s="118"/>
      <c r="AJ57" s="103"/>
      <c r="AK57" s="118"/>
      <c r="AL57" s="103"/>
      <c r="AM57" s="118"/>
      <c r="AN57" s="104"/>
      <c r="AO57" s="110"/>
      <c r="AP57" s="108"/>
      <c r="AQ57" s="118"/>
      <c r="AR57" s="103"/>
      <c r="AS57" s="118"/>
      <c r="AT57" s="103"/>
      <c r="AU57" s="118"/>
      <c r="AV57" s="104"/>
      <c r="AW57" s="110"/>
      <c r="AX57" s="108"/>
      <c r="AY57" s="118"/>
      <c r="AZ57" s="103"/>
      <c r="BA57" s="118"/>
      <c r="BB57" s="103"/>
      <c r="BC57" s="118"/>
      <c r="BD57" s="104"/>
      <c r="BE57" s="108"/>
      <c r="BF57" s="118"/>
      <c r="BG57" s="103"/>
      <c r="BH57" s="118"/>
      <c r="BI57" s="103"/>
      <c r="BJ57" s="118"/>
      <c r="BK57" s="104"/>
    </row>
    <row r="58" spans="1:63" s="100" customFormat="1" x14ac:dyDescent="0.25">
      <c r="A58" s="89" t="s">
        <v>36</v>
      </c>
      <c r="B58" s="108">
        <v>98277</v>
      </c>
      <c r="C58" s="118">
        <v>112158</v>
      </c>
      <c r="D58" s="103"/>
      <c r="E58" s="118">
        <v>0</v>
      </c>
      <c r="F58" s="103"/>
      <c r="G58" s="118">
        <v>0</v>
      </c>
      <c r="H58" s="104"/>
      <c r="I58" s="109"/>
      <c r="J58" s="108">
        <v>33829</v>
      </c>
      <c r="K58" s="118">
        <v>40002</v>
      </c>
      <c r="L58" s="103"/>
      <c r="M58" s="118">
        <v>86585</v>
      </c>
      <c r="N58" s="103"/>
      <c r="O58" s="118">
        <v>92292</v>
      </c>
      <c r="P58" s="104"/>
      <c r="Q58" s="109"/>
      <c r="R58" s="108">
        <v>71037</v>
      </c>
      <c r="S58" s="118">
        <v>21321</v>
      </c>
      <c r="T58" s="103"/>
      <c r="U58" s="118">
        <v>27415</v>
      </c>
      <c r="V58" s="103"/>
      <c r="W58" s="118">
        <v>29581</v>
      </c>
      <c r="X58" s="104"/>
      <c r="Y58" s="109"/>
      <c r="Z58" s="108">
        <v>55722</v>
      </c>
      <c r="AA58" s="118">
        <v>58592</v>
      </c>
      <c r="AB58" s="103"/>
      <c r="AC58" s="118">
        <v>65244</v>
      </c>
      <c r="AD58" s="103"/>
      <c r="AE58" s="118">
        <v>67294</v>
      </c>
      <c r="AF58" s="104"/>
      <c r="AG58" s="109"/>
      <c r="AH58" s="108">
        <v>43709</v>
      </c>
      <c r="AI58" s="118">
        <v>45329</v>
      </c>
      <c r="AJ58" s="103"/>
      <c r="AK58" s="118">
        <v>51575</v>
      </c>
      <c r="AL58" s="103"/>
      <c r="AM58" s="118">
        <v>52727</v>
      </c>
      <c r="AN58" s="104"/>
      <c r="AO58" s="109"/>
      <c r="AP58" s="108">
        <v>35812</v>
      </c>
      <c r="AQ58" s="118">
        <v>36697</v>
      </c>
      <c r="AR58" s="103"/>
      <c r="AS58" s="118">
        <v>39514</v>
      </c>
      <c r="AT58" s="103"/>
      <c r="AU58" s="118">
        <v>42171</v>
      </c>
      <c r="AV58" s="104"/>
      <c r="AW58" s="109"/>
      <c r="AX58" s="108">
        <v>31157</v>
      </c>
      <c r="AY58" s="118">
        <v>32783</v>
      </c>
      <c r="AZ58" s="103"/>
      <c r="BA58" s="118">
        <v>36314</v>
      </c>
      <c r="BB58" s="103"/>
      <c r="BC58" s="118">
        <v>36718</v>
      </c>
      <c r="BD58" s="104"/>
      <c r="BE58" s="108">
        <v>0</v>
      </c>
      <c r="BF58" s="103">
        <v>0</v>
      </c>
      <c r="BG58" s="103"/>
      <c r="BH58" s="103"/>
      <c r="BI58" s="103"/>
      <c r="BJ58" s="103"/>
      <c r="BK58" s="104"/>
    </row>
    <row r="59" spans="1:63" ht="7.5" customHeight="1" x14ac:dyDescent="0.25">
      <c r="A59" s="77"/>
      <c r="B59" s="108"/>
      <c r="C59" s="116"/>
      <c r="D59" s="116"/>
      <c r="E59" s="116"/>
      <c r="F59" s="116"/>
      <c r="G59" s="116"/>
      <c r="H59" s="117"/>
      <c r="I59" s="77"/>
      <c r="J59" s="108"/>
      <c r="K59" s="116"/>
      <c r="L59" s="116"/>
      <c r="M59" s="116"/>
      <c r="N59" s="116"/>
      <c r="O59" s="116"/>
      <c r="P59" s="117"/>
      <c r="Q59" s="77"/>
      <c r="R59" s="108"/>
      <c r="S59" s="116"/>
      <c r="T59" s="116"/>
      <c r="U59" s="116"/>
      <c r="V59" s="116"/>
      <c r="W59" s="116"/>
      <c r="X59" s="117"/>
      <c r="Y59" s="110"/>
      <c r="Z59" s="108"/>
      <c r="AA59" s="116"/>
      <c r="AB59" s="116"/>
      <c r="AC59" s="116"/>
      <c r="AD59" s="116"/>
      <c r="AE59" s="116"/>
      <c r="AF59" s="117"/>
      <c r="AG59" s="110"/>
      <c r="AH59" s="108"/>
      <c r="AI59" s="116"/>
      <c r="AJ59" s="116"/>
      <c r="AK59" s="116"/>
      <c r="AL59" s="116"/>
      <c r="AM59" s="116"/>
      <c r="AN59" s="117"/>
      <c r="AO59" s="110"/>
      <c r="AP59" s="108"/>
      <c r="AQ59" s="116"/>
      <c r="AR59" s="116"/>
      <c r="AS59" s="116"/>
      <c r="AT59" s="116"/>
      <c r="AU59" s="116"/>
      <c r="AV59" s="117"/>
      <c r="AW59" s="110"/>
      <c r="AX59" s="108"/>
      <c r="AY59" s="116"/>
      <c r="AZ59" s="116"/>
      <c r="BA59" s="116"/>
      <c r="BB59" s="116"/>
      <c r="BC59" s="116"/>
      <c r="BD59" s="117"/>
      <c r="BE59" s="108"/>
      <c r="BF59" s="116"/>
      <c r="BG59" s="116"/>
      <c r="BH59" s="116"/>
      <c r="BI59" s="116"/>
      <c r="BJ59" s="116"/>
      <c r="BK59" s="117"/>
    </row>
    <row r="60" spans="1:63" s="100" customFormat="1" x14ac:dyDescent="0.25">
      <c r="A60" s="77"/>
      <c r="B60" s="108"/>
      <c r="C60" s="118"/>
      <c r="D60" s="118"/>
      <c r="E60" s="118"/>
      <c r="F60" s="118"/>
      <c r="G60" s="118"/>
      <c r="H60" s="119"/>
      <c r="I60" s="110"/>
      <c r="J60" s="108"/>
      <c r="K60" s="118"/>
      <c r="L60" s="118"/>
      <c r="M60" s="118"/>
      <c r="N60" s="118"/>
      <c r="O60" s="118"/>
      <c r="P60" s="119"/>
      <c r="Q60" s="110"/>
      <c r="R60" s="108"/>
      <c r="S60" s="118"/>
      <c r="T60" s="118"/>
      <c r="U60" s="118"/>
      <c r="V60" s="118"/>
      <c r="W60" s="118"/>
      <c r="X60" s="119"/>
      <c r="Y60" s="110"/>
      <c r="Z60" s="108"/>
      <c r="AA60" s="118"/>
      <c r="AB60" s="118"/>
      <c r="AC60" s="118"/>
      <c r="AD60" s="118"/>
      <c r="AE60" s="118"/>
      <c r="AF60" s="119"/>
      <c r="AG60" s="110"/>
      <c r="AH60" s="108"/>
      <c r="AI60" s="118"/>
      <c r="AJ60" s="118"/>
      <c r="AK60" s="118"/>
      <c r="AL60" s="118"/>
      <c r="AM60" s="118"/>
      <c r="AN60" s="119"/>
      <c r="AO60" s="110"/>
      <c r="AP60" s="108"/>
      <c r="AQ60" s="118"/>
      <c r="AR60" s="118"/>
      <c r="AS60" s="118"/>
      <c r="AT60" s="118"/>
      <c r="AU60" s="118"/>
      <c r="AV60" s="119"/>
      <c r="AW60" s="110"/>
      <c r="AX60" s="108"/>
      <c r="AY60" s="118"/>
      <c r="AZ60" s="118"/>
      <c r="BA60" s="118"/>
      <c r="BB60" s="118"/>
      <c r="BC60" s="118"/>
      <c r="BD60" s="119"/>
      <c r="BE60" s="108"/>
      <c r="BF60" s="103"/>
      <c r="BG60" s="118"/>
      <c r="BH60" s="103"/>
      <c r="BI60" s="118"/>
      <c r="BJ60" s="103"/>
      <c r="BK60" s="119"/>
    </row>
    <row r="61" spans="1:63" s="100" customFormat="1" x14ac:dyDescent="0.25">
      <c r="A61" s="89" t="s">
        <v>66</v>
      </c>
      <c r="B61" s="108">
        <v>940</v>
      </c>
      <c r="C61" s="118">
        <v>2241</v>
      </c>
      <c r="D61" s="118"/>
      <c r="E61" s="109">
        <v>2381</v>
      </c>
      <c r="F61" s="118"/>
      <c r="G61" s="118">
        <v>0</v>
      </c>
      <c r="H61" s="119"/>
      <c r="I61" s="110"/>
      <c r="J61" s="108">
        <v>853</v>
      </c>
      <c r="K61" s="118">
        <v>1817</v>
      </c>
      <c r="L61" s="118"/>
      <c r="M61" s="109">
        <v>2486</v>
      </c>
      <c r="N61" s="118"/>
      <c r="O61" s="118">
        <v>3932</v>
      </c>
      <c r="P61" s="119"/>
      <c r="Q61" s="110"/>
      <c r="R61" s="108">
        <v>1313</v>
      </c>
      <c r="S61" s="118">
        <v>2790</v>
      </c>
      <c r="T61" s="118"/>
      <c r="U61" s="109">
        <v>3252</v>
      </c>
      <c r="V61" s="118"/>
      <c r="W61" s="118">
        <v>4096</v>
      </c>
      <c r="X61" s="119"/>
      <c r="Y61" s="110"/>
      <c r="Z61" s="108">
        <v>140</v>
      </c>
      <c r="AA61" s="118">
        <v>198</v>
      </c>
      <c r="AB61" s="118"/>
      <c r="AC61" s="109">
        <v>443</v>
      </c>
      <c r="AD61" s="118"/>
      <c r="AE61" s="118">
        <v>1001</v>
      </c>
      <c r="AF61" s="119"/>
      <c r="AG61" s="110"/>
      <c r="AH61" s="108">
        <v>151</v>
      </c>
      <c r="AI61" s="118">
        <v>357</v>
      </c>
      <c r="AJ61" s="118"/>
      <c r="AK61" s="109">
        <v>651</v>
      </c>
      <c r="AL61" s="118"/>
      <c r="AM61" s="118">
        <v>877</v>
      </c>
      <c r="AN61" s="119"/>
      <c r="AO61" s="110"/>
      <c r="AP61" s="108">
        <v>19</v>
      </c>
      <c r="AQ61" s="118">
        <v>224</v>
      </c>
      <c r="AR61" s="118"/>
      <c r="AS61" s="109">
        <v>334</v>
      </c>
      <c r="AT61" s="118"/>
      <c r="AU61" s="118">
        <v>741</v>
      </c>
      <c r="AV61" s="119"/>
      <c r="AW61" s="110"/>
      <c r="AX61" s="108">
        <v>686</v>
      </c>
      <c r="AY61" s="118">
        <v>706</v>
      </c>
      <c r="AZ61" s="118"/>
      <c r="BA61" s="109">
        <v>1185</v>
      </c>
      <c r="BB61" s="118"/>
      <c r="BC61" s="118">
        <v>1601</v>
      </c>
      <c r="BD61" s="119"/>
      <c r="BE61" s="108"/>
      <c r="BF61" s="118"/>
      <c r="BG61" s="118"/>
      <c r="BH61" s="118"/>
      <c r="BI61" s="118"/>
      <c r="BJ61" s="118"/>
      <c r="BK61" s="119"/>
    </row>
    <row r="62" spans="1:63" s="100" customFormat="1" x14ac:dyDescent="0.25">
      <c r="A62" s="222" t="s">
        <v>67</v>
      </c>
      <c r="B62" s="108"/>
      <c r="C62" s="109"/>
      <c r="D62" s="118"/>
      <c r="E62" s="109"/>
      <c r="F62" s="118"/>
      <c r="G62" s="109"/>
      <c r="H62" s="119"/>
      <c r="I62" s="110"/>
      <c r="J62" s="108"/>
      <c r="K62" s="109"/>
      <c r="L62" s="118"/>
      <c r="M62" s="109"/>
      <c r="N62" s="118"/>
      <c r="O62" s="118"/>
      <c r="P62" s="119"/>
      <c r="Q62" s="110"/>
      <c r="R62" s="108"/>
      <c r="S62" s="109"/>
      <c r="T62" s="118"/>
      <c r="U62" s="109"/>
      <c r="V62" s="118"/>
      <c r="W62" s="109"/>
      <c r="X62" s="119"/>
      <c r="Y62" s="110"/>
      <c r="Z62" s="108"/>
      <c r="AA62" s="109"/>
      <c r="AB62" s="118"/>
      <c r="AC62" s="109"/>
      <c r="AD62" s="118"/>
      <c r="AE62" s="109"/>
      <c r="AF62" s="119"/>
      <c r="AG62" s="110"/>
      <c r="AH62" s="108"/>
      <c r="AI62" s="109"/>
      <c r="AJ62" s="118"/>
      <c r="AK62" s="109"/>
      <c r="AL62" s="118"/>
      <c r="AM62" s="109"/>
      <c r="AN62" s="119"/>
      <c r="AO62" s="110"/>
      <c r="AP62" s="108"/>
      <c r="AQ62" s="109"/>
      <c r="AR62" s="118"/>
      <c r="AS62" s="109"/>
      <c r="AT62" s="118"/>
      <c r="AU62" s="109"/>
      <c r="AV62" s="119"/>
      <c r="AW62" s="110"/>
      <c r="AX62" s="108"/>
      <c r="AY62" s="109"/>
      <c r="AZ62" s="118"/>
      <c r="BA62" s="109"/>
      <c r="BB62" s="118"/>
      <c r="BC62" s="109"/>
      <c r="BD62" s="119"/>
      <c r="BE62" s="108"/>
      <c r="BF62" s="103"/>
      <c r="BG62" s="118"/>
      <c r="BH62" s="103"/>
      <c r="BI62" s="118"/>
      <c r="BJ62" s="103"/>
      <c r="BK62" s="119"/>
    </row>
    <row r="63" spans="1:63" s="100" customFormat="1" x14ac:dyDescent="0.25">
      <c r="A63" s="89" t="s">
        <v>68</v>
      </c>
      <c r="B63" s="146"/>
      <c r="C63" s="125"/>
      <c r="D63" s="123"/>
      <c r="E63" s="125"/>
      <c r="F63" s="123"/>
      <c r="G63" s="125"/>
      <c r="H63" s="147"/>
      <c r="I63" s="148"/>
      <c r="J63" s="146"/>
      <c r="K63" s="125"/>
      <c r="L63" s="123"/>
      <c r="M63" s="125"/>
      <c r="N63" s="123"/>
      <c r="O63" s="125">
        <v>0.53900000000000003</v>
      </c>
      <c r="P63" s="147"/>
      <c r="Q63" s="148"/>
      <c r="R63" s="146"/>
      <c r="S63" s="125"/>
      <c r="T63" s="123"/>
      <c r="U63" s="125"/>
      <c r="V63" s="123"/>
      <c r="W63" s="125">
        <v>0.75800000000000001</v>
      </c>
      <c r="X63" s="147"/>
      <c r="Y63" s="148"/>
      <c r="Z63" s="146"/>
      <c r="AA63" s="125"/>
      <c r="AB63" s="123"/>
      <c r="AC63" s="125"/>
      <c r="AD63" s="123"/>
      <c r="AE63" s="125">
        <v>0.78</v>
      </c>
      <c r="AF63" s="147"/>
      <c r="AG63" s="148"/>
      <c r="AH63" s="146"/>
      <c r="AI63" s="125"/>
      <c r="AJ63" s="123"/>
      <c r="AK63" s="125"/>
      <c r="AL63" s="123"/>
      <c r="AM63" s="125">
        <v>0.75700000000000001</v>
      </c>
      <c r="AN63" s="147"/>
      <c r="AO63" s="148"/>
      <c r="AP63" s="146"/>
      <c r="AQ63" s="125"/>
      <c r="AR63" s="123"/>
      <c r="AS63" s="125"/>
      <c r="AT63" s="123"/>
      <c r="AU63" s="125">
        <v>0.755</v>
      </c>
      <c r="AV63" s="147"/>
      <c r="AW63" s="148"/>
      <c r="AX63" s="146"/>
      <c r="AY63" s="125"/>
      <c r="AZ63" s="123"/>
      <c r="BA63" s="125"/>
      <c r="BB63" s="123"/>
      <c r="BC63" s="125">
        <v>0.755</v>
      </c>
      <c r="BD63" s="147"/>
      <c r="BE63" s="146"/>
      <c r="BF63" s="123"/>
      <c r="BG63" s="123"/>
      <c r="BH63" s="123"/>
      <c r="BI63" s="123"/>
      <c r="BJ63" s="125"/>
      <c r="BK63" s="147"/>
    </row>
    <row r="64" spans="1:63" s="100" customFormat="1" ht="15.75" thickBot="1" x14ac:dyDescent="0.3">
      <c r="A64" s="89" t="s">
        <v>69</v>
      </c>
      <c r="B64" s="150"/>
      <c r="C64" s="136"/>
      <c r="D64" s="130"/>
      <c r="E64" s="136"/>
      <c r="F64" s="130"/>
      <c r="G64" s="136"/>
      <c r="H64" s="151"/>
      <c r="I64" s="148"/>
      <c r="J64" s="150"/>
      <c r="K64" s="136"/>
      <c r="L64" s="130"/>
      <c r="M64" s="136"/>
      <c r="N64" s="130"/>
      <c r="O64" s="136">
        <v>0.498</v>
      </c>
      <c r="P64" s="151"/>
      <c r="Q64" s="148"/>
      <c r="R64" s="150"/>
      <c r="S64" s="136"/>
      <c r="T64" s="130"/>
      <c r="U64" s="136"/>
      <c r="V64" s="130"/>
      <c r="W64" s="136">
        <v>0.70599999999999996</v>
      </c>
      <c r="X64" s="151"/>
      <c r="Y64" s="152"/>
      <c r="Z64" s="150"/>
      <c r="AA64" s="136"/>
      <c r="AB64" s="130"/>
      <c r="AC64" s="136"/>
      <c r="AD64" s="130"/>
      <c r="AE64" s="136">
        <v>0.67900000000000005</v>
      </c>
      <c r="AF64" s="151"/>
      <c r="AG64" s="130"/>
      <c r="AH64" s="150"/>
      <c r="AI64" s="136"/>
      <c r="AJ64" s="130"/>
      <c r="AK64" s="136"/>
      <c r="AL64" s="130"/>
      <c r="AM64" s="136">
        <v>0.68100000000000005</v>
      </c>
      <c r="AN64" s="151"/>
      <c r="AO64" s="130"/>
      <c r="AP64" s="150"/>
      <c r="AQ64" s="136"/>
      <c r="AR64" s="130"/>
      <c r="AS64" s="136"/>
      <c r="AT64" s="130"/>
      <c r="AU64" s="136">
        <v>0.67500000000000004</v>
      </c>
      <c r="AV64" s="151"/>
      <c r="AW64" s="130"/>
      <c r="AX64" s="150"/>
      <c r="AY64" s="136"/>
      <c r="AZ64" s="130"/>
      <c r="BA64" s="136"/>
      <c r="BB64" s="130"/>
      <c r="BC64" s="136">
        <v>0.69799999999999995</v>
      </c>
      <c r="BD64" s="151"/>
      <c r="BE64" s="150"/>
      <c r="BF64" s="130"/>
      <c r="BG64" s="130"/>
      <c r="BH64" s="130"/>
      <c r="BI64" s="130"/>
      <c r="BJ64" s="136"/>
      <c r="BK64" s="151"/>
    </row>
  </sheetData>
  <pageMargins left="0.7" right="0.7" top="0.75" bottom="0.75" header="0.3" footer="0.3"/>
  <pageSetup scale="18"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59999389629810485"/>
  </sheetPr>
  <dimension ref="A1:AN65"/>
  <sheetViews>
    <sheetView workbookViewId="0"/>
  </sheetViews>
  <sheetFormatPr defaultColWidth="9.140625" defaultRowHeight="15" outlineLevelRow="1" outlineLevelCol="1" x14ac:dyDescent="0.25"/>
  <cols>
    <col min="1" max="1" width="40.140625" style="4" customWidth="1"/>
    <col min="2" max="3" width="12.5703125" style="4" customWidth="1"/>
    <col min="4" max="4" width="10.140625" style="4" hidden="1" customWidth="1" outlineLevel="1"/>
    <col min="5" max="5" width="9.5703125" style="4" customWidth="1" collapsed="1"/>
    <col min="6" max="6" width="0" style="4" hidden="1" customWidth="1" outlineLevel="1"/>
    <col min="7" max="7" width="13.42578125" style="4" customWidth="1" collapsed="1"/>
    <col min="8" max="8" width="9.140625" style="4"/>
    <col min="9" max="9" width="3" style="4" customWidth="1"/>
    <col min="10" max="11" width="13.42578125" style="67" customWidth="1"/>
    <col min="12" max="12" width="12.5703125" style="4" hidden="1" customWidth="1" outlineLevel="1"/>
    <col min="13" max="13" width="11.28515625" style="4" customWidth="1" collapsed="1"/>
    <col min="14" max="14" width="11.5703125" style="4" hidden="1" customWidth="1" outlineLevel="1"/>
    <col min="15" max="15" width="10.5703125" style="4" customWidth="1" collapsed="1"/>
    <col min="16" max="16" width="11.5703125" style="4" customWidth="1"/>
    <col min="17" max="17" width="3" style="4" customWidth="1"/>
    <col min="18" max="19" width="13.42578125" style="67" customWidth="1"/>
    <col min="20" max="20" width="12.5703125" style="4" hidden="1" customWidth="1" outlineLevel="1"/>
    <col min="21" max="21" width="11.28515625" style="4" customWidth="1" collapsed="1"/>
    <col min="22" max="22" width="11.5703125" style="4" hidden="1" customWidth="1" outlineLevel="1"/>
    <col min="23" max="23" width="10.5703125" style="4" customWidth="1" collapsed="1"/>
    <col min="24" max="24" width="11.5703125" style="4" customWidth="1"/>
    <col min="25" max="25" width="3" style="4" customWidth="1"/>
    <col min="26" max="27" width="9.140625" style="4"/>
    <col min="28" max="28" width="9.140625" style="4" hidden="1" customWidth="1" outlineLevel="1"/>
    <col min="29" max="29" width="9.140625" style="4" collapsed="1"/>
    <col min="30" max="30" width="10.5703125" style="4" hidden="1" customWidth="1" outlineLevel="1"/>
    <col min="31" max="31" width="9.140625" style="4" collapsed="1"/>
    <col min="32" max="32" width="9.140625" style="4"/>
    <col min="33" max="33" width="3" style="4" customWidth="1"/>
    <col min="34" max="35" width="9.140625" style="4"/>
    <col min="36" max="36" width="9.140625" style="4" hidden="1" customWidth="1" outlineLevel="1"/>
    <col min="37" max="37" width="9.140625" style="4" collapsed="1"/>
    <col min="38" max="38" width="9.140625" style="4" hidden="1" customWidth="1" outlineLevel="1"/>
    <col min="39" max="39" width="9.140625" style="4" collapsed="1"/>
    <col min="40" max="40" width="10.5703125" style="4" customWidth="1"/>
    <col min="41" max="16384" width="9.140625" style="4"/>
  </cols>
  <sheetData>
    <row r="1" spans="1:40" x14ac:dyDescent="0.25">
      <c r="A1" s="78" t="s">
        <v>124</v>
      </c>
      <c r="B1" s="79">
        <v>251.4</v>
      </c>
      <c r="C1" s="1"/>
      <c r="D1" s="1"/>
      <c r="E1" s="1"/>
      <c r="F1" s="1"/>
      <c r="G1" s="1"/>
      <c r="H1" s="1"/>
      <c r="I1" s="1"/>
      <c r="J1" s="2"/>
      <c r="K1" s="2"/>
      <c r="L1" s="1"/>
      <c r="M1" s="1"/>
      <c r="N1" s="1"/>
      <c r="O1" s="1"/>
      <c r="P1" s="1"/>
      <c r="Q1" s="1"/>
      <c r="R1" s="2"/>
      <c r="S1" s="2"/>
      <c r="T1" s="1"/>
      <c r="U1" s="1"/>
      <c r="V1" s="1"/>
      <c r="W1" s="1"/>
      <c r="X1" s="1"/>
      <c r="Y1" s="1"/>
      <c r="Z1" s="1"/>
      <c r="AA1" s="1"/>
      <c r="AB1" s="1"/>
      <c r="AC1" s="1"/>
      <c r="AD1" s="1"/>
      <c r="AE1" s="1"/>
      <c r="AF1" s="1"/>
      <c r="AG1" s="1"/>
      <c r="AH1" s="1"/>
      <c r="AI1" s="1"/>
      <c r="AJ1" s="1"/>
      <c r="AK1" s="1"/>
      <c r="AL1" s="1"/>
      <c r="AM1" s="1"/>
      <c r="AN1" s="3"/>
    </row>
    <row r="2" spans="1:40" x14ac:dyDescent="0.25">
      <c r="A2" s="5" t="s">
        <v>42</v>
      </c>
      <c r="B2" s="206">
        <v>68.400000000000006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7"/>
    </row>
    <row r="3" spans="1:40" ht="15" customHeight="1" x14ac:dyDescent="0.25">
      <c r="A3" s="5" t="s">
        <v>125</v>
      </c>
      <c r="B3" s="206">
        <v>45</v>
      </c>
      <c r="C3" s="9"/>
      <c r="D3" s="10"/>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7"/>
    </row>
    <row r="4" spans="1:40" s="14" customFormat="1" ht="15" customHeight="1" x14ac:dyDescent="0.25">
      <c r="A4" s="5" t="s">
        <v>44</v>
      </c>
      <c r="B4" s="206">
        <v>138</v>
      </c>
      <c r="C4" s="11"/>
      <c r="D4" s="10"/>
      <c r="E4" s="10"/>
      <c r="F4" s="10"/>
      <c r="G4" s="10"/>
      <c r="H4" s="10"/>
      <c r="I4" s="12"/>
      <c r="J4" s="10"/>
      <c r="K4" s="10"/>
      <c r="L4" s="10"/>
      <c r="M4" s="10"/>
      <c r="N4" s="10"/>
      <c r="O4" s="10"/>
      <c r="P4" s="10"/>
      <c r="Q4" s="12"/>
      <c r="R4" s="10"/>
      <c r="S4" s="10"/>
      <c r="T4" s="10"/>
      <c r="U4" s="10"/>
      <c r="V4" s="10"/>
      <c r="W4" s="10"/>
      <c r="X4" s="10"/>
      <c r="Y4" s="12"/>
      <c r="Z4" s="10"/>
      <c r="AA4" s="10"/>
      <c r="AB4" s="10"/>
      <c r="AC4" s="10"/>
      <c r="AD4" s="10"/>
      <c r="AE4" s="10"/>
      <c r="AF4" s="10"/>
      <c r="AG4" s="12"/>
      <c r="AH4" s="10"/>
      <c r="AI4" s="10"/>
      <c r="AJ4" s="10"/>
      <c r="AK4" s="10"/>
      <c r="AL4" s="12"/>
      <c r="AM4" s="10"/>
      <c r="AN4" s="13"/>
    </row>
    <row r="5" spans="1:40" s="14" customFormat="1" ht="15" customHeight="1" x14ac:dyDescent="0.25">
      <c r="A5" s="5"/>
      <c r="B5" s="206"/>
      <c r="C5" s="11"/>
      <c r="D5" s="10"/>
      <c r="E5" s="10"/>
      <c r="F5" s="10"/>
      <c r="G5" s="10"/>
      <c r="H5" s="10"/>
      <c r="I5" s="12"/>
      <c r="J5" s="10"/>
      <c r="K5" s="10"/>
      <c r="L5" s="10"/>
      <c r="M5" s="10"/>
      <c r="N5" s="10"/>
      <c r="O5" s="10"/>
      <c r="P5" s="10"/>
      <c r="Q5" s="12"/>
      <c r="R5" s="10"/>
      <c r="S5" s="10"/>
      <c r="T5" s="10"/>
      <c r="U5" s="10"/>
      <c r="V5" s="10"/>
      <c r="W5" s="10"/>
      <c r="X5" s="10"/>
      <c r="Y5" s="12"/>
      <c r="Z5" s="10"/>
      <c r="AA5" s="10"/>
      <c r="AB5" s="10"/>
      <c r="AC5" s="10"/>
      <c r="AD5" s="10"/>
      <c r="AE5" s="10"/>
      <c r="AF5" s="10"/>
      <c r="AG5" s="12"/>
      <c r="AH5" s="10"/>
      <c r="AI5" s="10"/>
      <c r="AJ5" s="10"/>
      <c r="AK5" s="10"/>
      <c r="AL5" s="12"/>
      <c r="AM5" s="10"/>
      <c r="AN5" s="13"/>
    </row>
    <row r="6" spans="1:40" s="14" customFormat="1" ht="15" customHeight="1" x14ac:dyDescent="0.25">
      <c r="A6" s="34" t="s">
        <v>126</v>
      </c>
      <c r="B6" s="206"/>
      <c r="C6" s="11"/>
      <c r="D6" s="10"/>
      <c r="E6" s="10"/>
      <c r="F6" s="10"/>
      <c r="G6" s="10"/>
      <c r="H6" s="10"/>
      <c r="I6" s="12"/>
      <c r="J6" s="10"/>
      <c r="K6" s="10"/>
      <c r="L6" s="10"/>
      <c r="M6" s="10"/>
      <c r="N6" s="10"/>
      <c r="O6" s="10"/>
      <c r="P6" s="10"/>
      <c r="Q6" s="12"/>
      <c r="R6" s="10"/>
      <c r="S6" s="10"/>
      <c r="T6" s="10"/>
      <c r="U6" s="10"/>
      <c r="V6" s="10"/>
      <c r="W6" s="10"/>
      <c r="X6" s="10"/>
      <c r="Y6" s="12"/>
      <c r="Z6" s="10"/>
      <c r="AA6" s="10"/>
      <c r="AB6" s="10"/>
      <c r="AC6" s="10"/>
      <c r="AD6" s="10"/>
      <c r="AE6" s="10"/>
      <c r="AF6" s="10"/>
      <c r="AG6" s="12"/>
      <c r="AH6" s="10"/>
      <c r="AI6" s="10"/>
      <c r="AJ6" s="10"/>
      <c r="AK6" s="10"/>
      <c r="AL6" s="12"/>
      <c r="AM6" s="10"/>
      <c r="AN6" s="13"/>
    </row>
    <row r="7" spans="1:40" s="14" customFormat="1" x14ac:dyDescent="0.25">
      <c r="A7" s="5" t="s">
        <v>127</v>
      </c>
      <c r="B7" s="206">
        <v>25.9</v>
      </c>
      <c r="C7" s="11"/>
      <c r="D7" s="10"/>
      <c r="E7" s="10"/>
      <c r="F7" s="10"/>
      <c r="G7" s="10"/>
      <c r="H7" s="10"/>
      <c r="I7" s="12"/>
      <c r="J7" s="10"/>
      <c r="K7" s="10"/>
      <c r="L7" s="10"/>
      <c r="M7" s="10"/>
      <c r="N7" s="10"/>
      <c r="O7" s="10"/>
      <c r="P7" s="10"/>
      <c r="Q7" s="12"/>
      <c r="R7" s="10"/>
      <c r="S7" s="10"/>
      <c r="T7" s="10"/>
      <c r="U7" s="10"/>
      <c r="V7" s="10"/>
      <c r="W7" s="10"/>
      <c r="X7" s="10"/>
      <c r="Y7" s="12"/>
      <c r="Z7" s="10"/>
      <c r="AA7" s="10"/>
      <c r="AB7" s="10"/>
      <c r="AC7" s="10"/>
      <c r="AD7" s="10"/>
      <c r="AE7" s="10"/>
      <c r="AF7" s="10"/>
      <c r="AG7" s="12"/>
      <c r="AH7" s="10"/>
      <c r="AI7" s="10"/>
      <c r="AJ7" s="10"/>
      <c r="AK7" s="10"/>
      <c r="AL7" s="12"/>
      <c r="AM7" s="10"/>
      <c r="AN7" s="13"/>
    </row>
    <row r="8" spans="1:40" s="14" customFormat="1" ht="14.25" customHeight="1" x14ac:dyDescent="0.25">
      <c r="A8" s="5" t="s">
        <v>128</v>
      </c>
      <c r="B8" s="206">
        <v>19.2</v>
      </c>
      <c r="C8" s="11"/>
      <c r="D8" s="10"/>
      <c r="E8" s="10"/>
      <c r="F8" s="10"/>
      <c r="G8" s="10"/>
      <c r="H8" s="10"/>
      <c r="I8" s="12"/>
      <c r="J8" s="10"/>
      <c r="K8" s="10"/>
      <c r="L8" s="10"/>
      <c r="M8" s="10"/>
      <c r="N8" s="10"/>
      <c r="O8" s="10"/>
      <c r="P8" s="10"/>
      <c r="Q8" s="12"/>
      <c r="R8" s="10"/>
      <c r="S8" s="10"/>
      <c r="T8" s="10"/>
      <c r="U8" s="10"/>
      <c r="V8" s="10"/>
      <c r="W8" s="10"/>
      <c r="X8" s="10"/>
      <c r="Y8" s="12"/>
      <c r="Z8" s="10"/>
      <c r="AA8" s="10"/>
      <c r="AB8" s="10"/>
      <c r="AC8" s="10"/>
      <c r="AD8" s="10"/>
      <c r="AE8" s="10"/>
      <c r="AF8" s="10"/>
      <c r="AG8" s="12"/>
      <c r="AH8" s="10"/>
      <c r="AI8" s="10"/>
      <c r="AJ8" s="10"/>
      <c r="AK8" s="10"/>
      <c r="AL8" s="12"/>
      <c r="AM8" s="10"/>
      <c r="AN8" s="13"/>
    </row>
    <row r="9" spans="1:40" s="14" customFormat="1" ht="14.25" customHeight="1" x14ac:dyDescent="0.25">
      <c r="A9" s="5"/>
      <c r="B9" s="206"/>
      <c r="C9" s="11"/>
      <c r="D9" s="10"/>
      <c r="E9" s="10"/>
      <c r="F9" s="10"/>
      <c r="G9" s="10"/>
      <c r="H9" s="10"/>
      <c r="I9" s="12"/>
      <c r="J9" s="10"/>
      <c r="K9" s="10"/>
      <c r="L9" s="10"/>
      <c r="M9" s="10"/>
      <c r="N9" s="10"/>
      <c r="O9" s="10"/>
      <c r="P9" s="10"/>
      <c r="Q9" s="12"/>
      <c r="R9" s="10"/>
      <c r="S9" s="10"/>
      <c r="T9" s="10"/>
      <c r="U9" s="10"/>
      <c r="V9" s="10"/>
      <c r="W9" s="10"/>
      <c r="X9" s="10"/>
      <c r="Y9" s="12"/>
      <c r="Z9" s="10"/>
      <c r="AA9" s="10"/>
      <c r="AB9" s="10"/>
      <c r="AC9" s="10"/>
      <c r="AD9" s="10"/>
      <c r="AE9" s="10"/>
      <c r="AF9" s="10"/>
      <c r="AG9" s="12"/>
      <c r="AH9" s="10"/>
      <c r="AI9" s="10"/>
      <c r="AJ9" s="10"/>
      <c r="AK9" s="10"/>
      <c r="AL9" s="12"/>
      <c r="AM9" s="10"/>
      <c r="AN9" s="13"/>
    </row>
    <row r="10" spans="1:40" s="14" customFormat="1" ht="14.25" customHeight="1" x14ac:dyDescent="0.25">
      <c r="A10" s="5" t="s">
        <v>129</v>
      </c>
      <c r="B10" s="207">
        <v>367.8</v>
      </c>
      <c r="C10" s="11"/>
      <c r="D10" s="10"/>
      <c r="E10" s="10"/>
      <c r="F10" s="10"/>
      <c r="G10" s="10"/>
      <c r="H10" s="10"/>
      <c r="I10" s="12"/>
      <c r="J10" s="10"/>
      <c r="K10" s="10"/>
      <c r="L10" s="10"/>
      <c r="M10" s="10"/>
      <c r="N10" s="10"/>
      <c r="O10" s="10"/>
      <c r="P10" s="10"/>
      <c r="Q10" s="12"/>
      <c r="R10" s="10"/>
      <c r="S10" s="10"/>
      <c r="T10" s="10"/>
      <c r="U10" s="10"/>
      <c r="V10" s="10"/>
      <c r="W10" s="10"/>
      <c r="X10" s="10"/>
      <c r="Y10" s="12"/>
      <c r="Z10" s="10"/>
      <c r="AA10" s="10"/>
      <c r="AB10" s="10"/>
      <c r="AC10" s="10"/>
      <c r="AD10" s="10"/>
      <c r="AE10" s="10"/>
      <c r="AF10" s="10"/>
      <c r="AG10" s="12"/>
      <c r="AH10" s="10"/>
      <c r="AI10" s="10"/>
      <c r="AJ10" s="10"/>
      <c r="AK10" s="10"/>
      <c r="AL10" s="12"/>
      <c r="AM10" s="10"/>
      <c r="AN10" s="13"/>
    </row>
    <row r="11" spans="1:40" s="14" customFormat="1" ht="14.25" customHeight="1" x14ac:dyDescent="0.25">
      <c r="A11" s="5" t="s">
        <v>119</v>
      </c>
      <c r="B11" s="206">
        <v>99.3</v>
      </c>
      <c r="C11" s="11"/>
      <c r="D11" s="10"/>
      <c r="E11" s="10"/>
      <c r="F11" s="10"/>
      <c r="G11" s="10"/>
      <c r="H11" s="10"/>
      <c r="I11" s="12"/>
      <c r="J11" s="10"/>
      <c r="K11" s="10"/>
      <c r="L11" s="10"/>
      <c r="M11" s="10"/>
      <c r="N11" s="10"/>
      <c r="O11" s="10"/>
      <c r="P11" s="10"/>
      <c r="Q11" s="12"/>
      <c r="R11" s="10"/>
      <c r="S11" s="10"/>
      <c r="T11" s="10"/>
      <c r="U11" s="10"/>
      <c r="V11" s="10"/>
      <c r="W11" s="10"/>
      <c r="X11" s="10"/>
      <c r="Y11" s="12"/>
      <c r="Z11" s="10"/>
      <c r="AA11" s="10"/>
      <c r="AB11" s="10"/>
      <c r="AC11" s="10"/>
      <c r="AD11" s="10"/>
      <c r="AE11" s="10"/>
      <c r="AF11" s="10"/>
      <c r="AG11" s="12"/>
      <c r="AH11" s="10"/>
      <c r="AI11" s="10"/>
      <c r="AJ11" s="10"/>
      <c r="AK11" s="10"/>
      <c r="AL11" s="12"/>
      <c r="AM11" s="10"/>
      <c r="AN11" s="13"/>
    </row>
    <row r="12" spans="1:40" s="14" customFormat="1" ht="14.25" customHeight="1" x14ac:dyDescent="0.25">
      <c r="A12" s="5" t="s">
        <v>120</v>
      </c>
      <c r="B12" s="206">
        <v>268.5</v>
      </c>
      <c r="C12" s="9"/>
      <c r="D12" s="10"/>
      <c r="E12" s="10"/>
      <c r="F12" s="10"/>
      <c r="G12" s="10"/>
      <c r="H12" s="10"/>
      <c r="I12" s="12"/>
      <c r="J12" s="10"/>
      <c r="K12" s="10"/>
      <c r="L12" s="10"/>
      <c r="M12" s="10"/>
      <c r="N12" s="10"/>
      <c r="O12" s="10"/>
      <c r="P12" s="10"/>
      <c r="Q12" s="12"/>
      <c r="R12" s="10"/>
      <c r="S12" s="10"/>
      <c r="T12" s="10"/>
      <c r="U12" s="10"/>
      <c r="V12" s="10"/>
      <c r="W12" s="10"/>
      <c r="X12" s="10"/>
      <c r="Y12" s="12"/>
      <c r="Z12" s="10"/>
      <c r="AA12" s="10"/>
      <c r="AB12" s="10"/>
      <c r="AC12" s="10"/>
      <c r="AD12" s="10"/>
      <c r="AE12" s="10"/>
      <c r="AF12" s="10"/>
      <c r="AG12" s="12"/>
      <c r="AH12" s="10"/>
      <c r="AI12" s="10"/>
      <c r="AJ12" s="10"/>
      <c r="AK12" s="10"/>
      <c r="AL12" s="12"/>
      <c r="AM12" s="10"/>
      <c r="AN12" s="13"/>
    </row>
    <row r="13" spans="1:40" s="14" customFormat="1" ht="15" customHeight="1" x14ac:dyDescent="0.25">
      <c r="A13" s="5"/>
      <c r="B13" s="206"/>
      <c r="C13" s="11"/>
      <c r="D13" s="10"/>
      <c r="E13" s="10"/>
      <c r="F13" s="10"/>
      <c r="G13" s="10"/>
      <c r="H13" s="10"/>
      <c r="I13" s="12"/>
      <c r="J13" s="10"/>
      <c r="K13" s="10"/>
      <c r="L13" s="10"/>
      <c r="M13" s="10"/>
      <c r="N13" s="10"/>
      <c r="O13" s="10"/>
      <c r="P13" s="10"/>
      <c r="Q13" s="12"/>
      <c r="R13" s="10"/>
      <c r="S13" s="10"/>
      <c r="T13" s="10"/>
      <c r="U13" s="10"/>
      <c r="V13" s="10"/>
      <c r="W13" s="10"/>
      <c r="X13" s="10"/>
      <c r="Y13" s="12"/>
      <c r="Z13" s="10"/>
      <c r="AA13" s="10"/>
      <c r="AB13" s="10"/>
      <c r="AC13" s="10"/>
      <c r="AD13" s="10"/>
      <c r="AE13" s="10"/>
      <c r="AF13" s="10"/>
      <c r="AG13" s="12"/>
      <c r="AH13" s="10"/>
      <c r="AI13" s="10"/>
      <c r="AJ13" s="10"/>
      <c r="AK13" s="10"/>
      <c r="AL13" s="12"/>
      <c r="AM13" s="10"/>
      <c r="AN13" s="13"/>
    </row>
    <row r="14" spans="1:40" s="14" customFormat="1" ht="15.75" thickBot="1" x14ac:dyDescent="0.3">
      <c r="A14" s="15" t="s">
        <v>116</v>
      </c>
      <c r="B14" s="208">
        <v>158.30000000000001</v>
      </c>
      <c r="C14" s="11"/>
      <c r="D14" s="10"/>
      <c r="E14" s="10"/>
      <c r="F14" s="10"/>
      <c r="G14" s="10"/>
      <c r="H14" s="10"/>
      <c r="I14" s="12"/>
      <c r="J14" s="10"/>
      <c r="K14" s="10"/>
      <c r="L14" s="10"/>
      <c r="M14" s="10"/>
      <c r="N14" s="10"/>
      <c r="O14" s="10"/>
      <c r="P14" s="10"/>
      <c r="Q14" s="12"/>
      <c r="R14" s="10"/>
      <c r="S14" s="10"/>
      <c r="T14" s="10"/>
      <c r="U14" s="10"/>
      <c r="V14" s="10"/>
      <c r="W14" s="10"/>
      <c r="X14" s="10"/>
      <c r="Y14" s="12"/>
      <c r="Z14" s="10"/>
      <c r="AA14" s="10"/>
      <c r="AB14" s="10"/>
      <c r="AC14" s="10"/>
      <c r="AD14" s="10"/>
      <c r="AE14" s="10"/>
      <c r="AF14" s="10"/>
      <c r="AG14" s="12"/>
      <c r="AH14" s="10"/>
      <c r="AI14" s="10"/>
      <c r="AJ14" s="10"/>
      <c r="AK14" s="10"/>
      <c r="AL14" s="12"/>
      <c r="AM14" s="10"/>
      <c r="AN14" s="13"/>
    </row>
    <row r="15" spans="1:40" s="14" customFormat="1" x14ac:dyDescent="0.25">
      <c r="A15" s="5"/>
      <c r="B15" s="210"/>
      <c r="C15" s="11"/>
      <c r="D15" s="10"/>
      <c r="E15" s="10"/>
      <c r="F15" s="10"/>
      <c r="G15" s="10"/>
      <c r="H15" s="10"/>
      <c r="I15" s="12"/>
      <c r="J15" s="10"/>
      <c r="K15" s="10"/>
      <c r="L15" s="10"/>
      <c r="M15" s="10"/>
      <c r="N15" s="10"/>
      <c r="O15" s="10"/>
      <c r="P15" s="10"/>
      <c r="Q15" s="12"/>
      <c r="R15" s="10"/>
      <c r="S15" s="10"/>
      <c r="T15" s="10"/>
      <c r="U15" s="10"/>
      <c r="V15" s="10"/>
      <c r="W15" s="10"/>
      <c r="X15" s="10"/>
      <c r="Y15" s="12"/>
      <c r="Z15" s="10"/>
      <c r="AA15" s="10"/>
      <c r="AB15" s="10"/>
      <c r="AC15" s="10"/>
      <c r="AD15" s="10"/>
      <c r="AE15" s="10"/>
      <c r="AF15" s="10"/>
      <c r="AG15" s="12"/>
      <c r="AH15" s="10"/>
      <c r="AI15" s="10"/>
      <c r="AJ15" s="10"/>
      <c r="AK15" s="10"/>
      <c r="AL15" s="12"/>
      <c r="AM15" s="10"/>
      <c r="AN15" s="13"/>
    </row>
    <row r="16" spans="1:40" s="14" customFormat="1" x14ac:dyDescent="0.25">
      <c r="A16" s="5"/>
      <c r="B16" s="210"/>
      <c r="C16" s="11"/>
      <c r="D16" s="10"/>
      <c r="E16" s="10"/>
      <c r="F16" s="10"/>
      <c r="G16" s="10"/>
      <c r="H16" s="10"/>
      <c r="I16" s="12"/>
      <c r="J16" s="10"/>
      <c r="K16" s="10"/>
      <c r="L16" s="10"/>
      <c r="M16" s="10"/>
      <c r="N16" s="10"/>
      <c r="O16" s="10"/>
      <c r="P16" s="10"/>
      <c r="Q16" s="12"/>
      <c r="R16" s="10"/>
      <c r="S16" s="10"/>
      <c r="T16" s="10"/>
      <c r="U16" s="10"/>
      <c r="V16" s="10"/>
      <c r="W16" s="10"/>
      <c r="X16" s="10"/>
      <c r="Y16" s="12"/>
      <c r="Z16" s="10"/>
      <c r="AA16" s="10"/>
      <c r="AB16" s="10"/>
      <c r="AC16" s="10"/>
      <c r="AD16" s="10"/>
      <c r="AE16" s="10"/>
      <c r="AF16" s="10"/>
      <c r="AG16" s="12"/>
      <c r="AH16" s="10"/>
      <c r="AI16" s="10"/>
      <c r="AJ16" s="10"/>
      <c r="AK16" s="10"/>
      <c r="AL16" s="12"/>
      <c r="AM16" s="10"/>
      <c r="AN16" s="13"/>
    </row>
    <row r="17" spans="1:40" s="14" customFormat="1" ht="15.75" thickBot="1" x14ac:dyDescent="0.3">
      <c r="A17" s="16"/>
      <c r="B17" s="12"/>
      <c r="C17" s="12"/>
      <c r="D17" s="12"/>
      <c r="E17" s="20"/>
      <c r="F17" s="20"/>
      <c r="G17" s="20"/>
      <c r="H17" s="20"/>
      <c r="I17" s="12"/>
      <c r="J17" s="20"/>
      <c r="K17" s="20"/>
      <c r="L17" s="20"/>
      <c r="M17" s="20"/>
      <c r="N17" s="20"/>
      <c r="O17" s="20"/>
      <c r="P17" s="20"/>
      <c r="Q17" s="12"/>
      <c r="R17" s="20"/>
      <c r="S17" s="20"/>
      <c r="T17" s="20"/>
      <c r="U17" s="20"/>
      <c r="V17" s="20"/>
      <c r="W17" s="20"/>
      <c r="X17" s="20"/>
      <c r="Y17" s="12"/>
      <c r="Z17" s="20"/>
      <c r="AA17" s="20"/>
      <c r="AB17" s="20"/>
      <c r="AC17" s="20"/>
      <c r="AD17" s="20"/>
      <c r="AE17" s="20"/>
      <c r="AF17" s="20"/>
      <c r="AG17" s="12"/>
      <c r="AH17" s="20"/>
      <c r="AI17" s="20"/>
      <c r="AJ17" s="20"/>
      <c r="AK17" s="20"/>
      <c r="AL17" s="12"/>
      <c r="AM17" s="20"/>
      <c r="AN17" s="21"/>
    </row>
    <row r="18" spans="1:40" ht="15.75" thickBot="1" x14ac:dyDescent="0.3">
      <c r="A18" s="5"/>
      <c r="B18" s="261">
        <v>2015</v>
      </c>
      <c r="C18" s="262"/>
      <c r="D18" s="262"/>
      <c r="E18" s="262"/>
      <c r="F18" s="262"/>
      <c r="G18" s="262"/>
      <c r="H18" s="263"/>
      <c r="I18" s="6"/>
      <c r="J18" s="261">
        <v>2014</v>
      </c>
      <c r="K18" s="262"/>
      <c r="L18" s="262"/>
      <c r="M18" s="262"/>
      <c r="N18" s="262"/>
      <c r="O18" s="262"/>
      <c r="P18" s="263"/>
      <c r="Q18" s="6"/>
      <c r="R18" s="261">
        <v>2013</v>
      </c>
      <c r="S18" s="262"/>
      <c r="T18" s="262"/>
      <c r="U18" s="262"/>
      <c r="V18" s="262"/>
      <c r="W18" s="262"/>
      <c r="X18" s="263"/>
      <c r="Y18" s="6"/>
      <c r="Z18" s="261">
        <v>2012</v>
      </c>
      <c r="AA18" s="262"/>
      <c r="AB18" s="262"/>
      <c r="AC18" s="262"/>
      <c r="AD18" s="262"/>
      <c r="AE18" s="262"/>
      <c r="AF18" s="263"/>
      <c r="AG18" s="6"/>
      <c r="AH18" s="261">
        <v>2011</v>
      </c>
      <c r="AI18" s="262"/>
      <c r="AJ18" s="262"/>
      <c r="AK18" s="262"/>
      <c r="AL18" s="262"/>
      <c r="AM18" s="262"/>
      <c r="AN18" s="263"/>
    </row>
    <row r="19" spans="1:40" s="163" customFormat="1" x14ac:dyDescent="0.25">
      <c r="A19" s="34"/>
      <c r="B19" s="80" t="s">
        <v>3</v>
      </c>
      <c r="C19" s="81" t="s">
        <v>4</v>
      </c>
      <c r="D19" s="81" t="s">
        <v>5</v>
      </c>
      <c r="E19" s="81" t="s">
        <v>6</v>
      </c>
      <c r="F19" s="81" t="s">
        <v>7</v>
      </c>
      <c r="G19" s="81" t="s">
        <v>8</v>
      </c>
      <c r="H19" s="82" t="s">
        <v>9</v>
      </c>
      <c r="I19" s="35"/>
      <c r="J19" s="76" t="s">
        <v>3</v>
      </c>
      <c r="K19" s="10" t="s">
        <v>4</v>
      </c>
      <c r="L19" s="10" t="s">
        <v>5</v>
      </c>
      <c r="M19" s="10" t="s">
        <v>6</v>
      </c>
      <c r="N19" s="10" t="s">
        <v>7</v>
      </c>
      <c r="O19" s="10" t="s">
        <v>8</v>
      </c>
      <c r="P19" s="13" t="s">
        <v>9</v>
      </c>
      <c r="Q19" s="35"/>
      <c r="R19" s="76" t="s">
        <v>3</v>
      </c>
      <c r="S19" s="10" t="s">
        <v>4</v>
      </c>
      <c r="T19" s="10" t="s">
        <v>5</v>
      </c>
      <c r="U19" s="10" t="s">
        <v>6</v>
      </c>
      <c r="V19" s="10" t="s">
        <v>7</v>
      </c>
      <c r="W19" s="10" t="s">
        <v>8</v>
      </c>
      <c r="X19" s="13" t="s">
        <v>9</v>
      </c>
      <c r="Y19" s="35"/>
      <c r="Z19" s="76" t="s">
        <v>3</v>
      </c>
      <c r="AA19" s="10" t="s">
        <v>4</v>
      </c>
      <c r="AB19" s="10" t="s">
        <v>5</v>
      </c>
      <c r="AC19" s="10" t="s">
        <v>6</v>
      </c>
      <c r="AD19" s="10" t="s">
        <v>7</v>
      </c>
      <c r="AE19" s="10" t="s">
        <v>8</v>
      </c>
      <c r="AF19" s="13" t="s">
        <v>9</v>
      </c>
      <c r="AG19" s="35"/>
      <c r="AH19" s="76" t="s">
        <v>3</v>
      </c>
      <c r="AI19" s="10" t="s">
        <v>4</v>
      </c>
      <c r="AJ19" s="10" t="s">
        <v>5</v>
      </c>
      <c r="AK19" s="10" t="s">
        <v>6</v>
      </c>
      <c r="AL19" s="10" t="s">
        <v>7</v>
      </c>
      <c r="AM19" s="10" t="s">
        <v>8</v>
      </c>
      <c r="AN19" s="13" t="s">
        <v>9</v>
      </c>
    </row>
    <row r="20" spans="1:40" x14ac:dyDescent="0.25">
      <c r="A20" s="5"/>
      <c r="B20" s="24"/>
      <c r="C20" s="22"/>
      <c r="D20" s="22"/>
      <c r="E20" s="22"/>
      <c r="F20" s="22"/>
      <c r="G20" s="22"/>
      <c r="H20" s="23"/>
      <c r="I20" s="6"/>
      <c r="J20" s="24"/>
      <c r="K20" s="22"/>
      <c r="L20" s="22"/>
      <c r="M20" s="22"/>
      <c r="N20" s="22"/>
      <c r="O20" s="22"/>
      <c r="P20" s="23"/>
      <c r="Q20" s="6"/>
      <c r="R20" s="24"/>
      <c r="S20" s="22"/>
      <c r="T20" s="22"/>
      <c r="U20" s="22"/>
      <c r="V20" s="22"/>
      <c r="W20" s="22"/>
      <c r="X20" s="23"/>
      <c r="Y20" s="6"/>
      <c r="Z20" s="24"/>
      <c r="AA20" s="22"/>
      <c r="AB20" s="22"/>
      <c r="AC20" s="22"/>
      <c r="AD20" s="22"/>
      <c r="AE20" s="22"/>
      <c r="AF20" s="23"/>
      <c r="AG20" s="6"/>
      <c r="AH20" s="24"/>
      <c r="AI20" s="22"/>
      <c r="AJ20" s="22"/>
      <c r="AK20" s="22"/>
      <c r="AL20" s="22"/>
      <c r="AM20" s="22"/>
      <c r="AN20" s="23"/>
    </row>
    <row r="21" spans="1:40" s="14" customFormat="1" x14ac:dyDescent="0.25">
      <c r="A21" s="16" t="s">
        <v>10</v>
      </c>
      <c r="B21" s="25">
        <v>36922</v>
      </c>
      <c r="C21" s="20">
        <v>42574</v>
      </c>
      <c r="D21" s="20">
        <v>79496</v>
      </c>
      <c r="E21" s="20">
        <v>17023</v>
      </c>
      <c r="F21" s="20">
        <v>96519</v>
      </c>
      <c r="G21" s="20">
        <v>0</v>
      </c>
      <c r="H21" s="21">
        <v>96519</v>
      </c>
      <c r="I21" s="12"/>
      <c r="J21" s="25">
        <v>38770</v>
      </c>
      <c r="K21" s="20">
        <v>40879</v>
      </c>
      <c r="L21" s="20">
        <v>79649</v>
      </c>
      <c r="M21" s="20">
        <v>33496</v>
      </c>
      <c r="N21" s="20">
        <v>113145</v>
      </c>
      <c r="O21" s="20">
        <v>35530</v>
      </c>
      <c r="P21" s="21">
        <v>148675</v>
      </c>
      <c r="Q21" s="26"/>
      <c r="R21" s="25">
        <v>42755</v>
      </c>
      <c r="S21" s="20">
        <v>34511</v>
      </c>
      <c r="T21" s="20">
        <v>77266</v>
      </c>
      <c r="U21" s="20">
        <v>34661</v>
      </c>
      <c r="V21" s="20">
        <v>111927</v>
      </c>
      <c r="W21" s="20">
        <v>28016</v>
      </c>
      <c r="X21" s="21">
        <v>139943</v>
      </c>
      <c r="Y21" s="26"/>
      <c r="Z21" s="25">
        <v>40189</v>
      </c>
      <c r="AA21" s="20">
        <v>44279</v>
      </c>
      <c r="AB21" s="20">
        <v>84468</v>
      </c>
      <c r="AC21" s="20">
        <v>36672</v>
      </c>
      <c r="AD21" s="20">
        <v>121140</v>
      </c>
      <c r="AE21" s="20">
        <v>36493</v>
      </c>
      <c r="AF21" s="21">
        <v>157633</v>
      </c>
      <c r="AG21" s="26"/>
      <c r="AH21" s="25">
        <v>0</v>
      </c>
      <c r="AI21" s="20">
        <v>0</v>
      </c>
      <c r="AJ21" s="20">
        <v>0</v>
      </c>
      <c r="AK21" s="20">
        <v>16059</v>
      </c>
      <c r="AL21" s="20">
        <v>16059</v>
      </c>
      <c r="AM21" s="20">
        <v>26591</v>
      </c>
      <c r="AN21" s="21">
        <v>42650</v>
      </c>
    </row>
    <row r="22" spans="1:40" s="14" customFormat="1" x14ac:dyDescent="0.25">
      <c r="A22" s="16" t="s">
        <v>11</v>
      </c>
      <c r="B22" s="25">
        <v>21690</v>
      </c>
      <c r="C22" s="20">
        <v>23674</v>
      </c>
      <c r="D22" s="20">
        <v>45364</v>
      </c>
      <c r="E22" s="20">
        <v>9740</v>
      </c>
      <c r="F22" s="20">
        <v>55104</v>
      </c>
      <c r="G22" s="20">
        <v>0</v>
      </c>
      <c r="H22" s="21">
        <v>55104</v>
      </c>
      <c r="I22" s="12"/>
      <c r="J22" s="25">
        <v>21865</v>
      </c>
      <c r="K22" s="20">
        <v>23500</v>
      </c>
      <c r="L22" s="20">
        <v>45365</v>
      </c>
      <c r="M22" s="20">
        <v>19764</v>
      </c>
      <c r="N22" s="20">
        <v>65129</v>
      </c>
      <c r="O22" s="20">
        <v>20874</v>
      </c>
      <c r="P22" s="21">
        <v>86003</v>
      </c>
      <c r="Q22" s="26"/>
      <c r="R22" s="25">
        <v>23136</v>
      </c>
      <c r="S22" s="20">
        <v>19551</v>
      </c>
      <c r="T22" s="20">
        <v>42687</v>
      </c>
      <c r="U22" s="20">
        <v>19486</v>
      </c>
      <c r="V22" s="20">
        <v>62173</v>
      </c>
      <c r="W22" s="20">
        <v>16415</v>
      </c>
      <c r="X22" s="21">
        <v>78588</v>
      </c>
      <c r="Y22" s="26"/>
      <c r="Z22" s="25">
        <v>22014</v>
      </c>
      <c r="AA22" s="20">
        <v>23336</v>
      </c>
      <c r="AB22" s="20">
        <v>45350</v>
      </c>
      <c r="AC22" s="20">
        <v>20050</v>
      </c>
      <c r="AD22" s="20">
        <v>65400</v>
      </c>
      <c r="AE22" s="20">
        <v>20024</v>
      </c>
      <c r="AF22" s="21">
        <v>85424</v>
      </c>
      <c r="AG22" s="26"/>
      <c r="AH22" s="25">
        <v>0</v>
      </c>
      <c r="AI22" s="20">
        <v>0</v>
      </c>
      <c r="AJ22" s="20">
        <v>0</v>
      </c>
      <c r="AK22" s="20">
        <v>11585</v>
      </c>
      <c r="AL22" s="20">
        <v>11585</v>
      </c>
      <c r="AM22" s="20">
        <v>19555</v>
      </c>
      <c r="AN22" s="21">
        <v>31140</v>
      </c>
    </row>
    <row r="23" spans="1:40" s="14" customFormat="1" x14ac:dyDescent="0.25">
      <c r="A23" s="16" t="s">
        <v>12</v>
      </c>
      <c r="B23" s="25">
        <v>15232</v>
      </c>
      <c r="C23" s="20">
        <v>18900</v>
      </c>
      <c r="D23" s="20">
        <v>34132</v>
      </c>
      <c r="E23" s="20">
        <v>7283</v>
      </c>
      <c r="F23" s="20">
        <v>41415</v>
      </c>
      <c r="G23" s="20">
        <v>0</v>
      </c>
      <c r="H23" s="21">
        <v>41415</v>
      </c>
      <c r="I23" s="12"/>
      <c r="J23" s="25">
        <v>16905</v>
      </c>
      <c r="K23" s="20">
        <v>17379</v>
      </c>
      <c r="L23" s="20">
        <v>34284</v>
      </c>
      <c r="M23" s="20">
        <v>13732</v>
      </c>
      <c r="N23" s="20">
        <v>48016</v>
      </c>
      <c r="O23" s="20">
        <v>14656</v>
      </c>
      <c r="P23" s="21">
        <v>62672</v>
      </c>
      <c r="Q23" s="26"/>
      <c r="R23" s="25">
        <v>19619</v>
      </c>
      <c r="S23" s="20">
        <v>14960</v>
      </c>
      <c r="T23" s="20">
        <v>34579</v>
      </c>
      <c r="U23" s="20">
        <v>15175</v>
      </c>
      <c r="V23" s="20">
        <v>49754</v>
      </c>
      <c r="W23" s="20">
        <v>11601</v>
      </c>
      <c r="X23" s="21">
        <v>61355</v>
      </c>
      <c r="Y23" s="26"/>
      <c r="Z23" s="25">
        <v>18175</v>
      </c>
      <c r="AA23" s="20">
        <v>20943</v>
      </c>
      <c r="AB23" s="20">
        <v>39118</v>
      </c>
      <c r="AC23" s="20">
        <v>16622</v>
      </c>
      <c r="AD23" s="20">
        <v>55740</v>
      </c>
      <c r="AE23" s="20">
        <v>16469</v>
      </c>
      <c r="AF23" s="21">
        <v>72209</v>
      </c>
      <c r="AG23" s="26"/>
      <c r="AH23" s="25">
        <v>0</v>
      </c>
      <c r="AI23" s="20">
        <v>0</v>
      </c>
      <c r="AJ23" s="20">
        <v>0</v>
      </c>
      <c r="AK23" s="20">
        <v>4474</v>
      </c>
      <c r="AL23" s="20">
        <v>4474</v>
      </c>
      <c r="AM23" s="20">
        <v>7036</v>
      </c>
      <c r="AN23" s="21">
        <v>11510</v>
      </c>
    </row>
    <row r="24" spans="1:40" outlineLevel="1" x14ac:dyDescent="0.25">
      <c r="A24" s="5" t="s">
        <v>13</v>
      </c>
      <c r="B24" s="24">
        <v>8578</v>
      </c>
      <c r="C24" s="22">
        <v>9313</v>
      </c>
      <c r="D24" s="22">
        <v>17891</v>
      </c>
      <c r="E24" s="22">
        <v>3803</v>
      </c>
      <c r="F24" s="22">
        <v>21694</v>
      </c>
      <c r="G24" s="22">
        <v>0</v>
      </c>
      <c r="H24" s="23">
        <v>21694</v>
      </c>
      <c r="I24" s="6"/>
      <c r="J24" s="24">
        <v>8747</v>
      </c>
      <c r="K24" s="22">
        <v>9247</v>
      </c>
      <c r="L24" s="22">
        <v>17994</v>
      </c>
      <c r="M24" s="22">
        <v>8596</v>
      </c>
      <c r="N24" s="22">
        <v>26590</v>
      </c>
      <c r="O24" s="22">
        <v>8957</v>
      </c>
      <c r="P24" s="23">
        <v>35547</v>
      </c>
      <c r="Q24" s="30"/>
      <c r="R24" s="24">
        <v>8278</v>
      </c>
      <c r="S24" s="22">
        <v>8669</v>
      </c>
      <c r="T24" s="22">
        <v>16947</v>
      </c>
      <c r="U24" s="22">
        <v>9316</v>
      </c>
      <c r="V24" s="22">
        <v>26263</v>
      </c>
      <c r="W24" s="22">
        <v>7695</v>
      </c>
      <c r="X24" s="23">
        <v>33958</v>
      </c>
      <c r="Y24" s="30"/>
      <c r="Z24" s="24">
        <v>8528</v>
      </c>
      <c r="AA24" s="22">
        <v>9564</v>
      </c>
      <c r="AB24" s="22">
        <v>18092</v>
      </c>
      <c r="AC24" s="22">
        <v>9068</v>
      </c>
      <c r="AD24" s="22">
        <v>27160</v>
      </c>
      <c r="AE24" s="22">
        <v>9670</v>
      </c>
      <c r="AF24" s="23">
        <v>36830</v>
      </c>
      <c r="AG24" s="30"/>
      <c r="AH24" s="24">
        <v>0</v>
      </c>
      <c r="AI24" s="22">
        <v>0</v>
      </c>
      <c r="AJ24" s="22">
        <v>0</v>
      </c>
      <c r="AK24" s="22">
        <v>7438</v>
      </c>
      <c r="AL24" s="22">
        <v>7438</v>
      </c>
      <c r="AM24" s="22">
        <v>7558</v>
      </c>
      <c r="AN24" s="23">
        <v>14996</v>
      </c>
    </row>
    <row r="25" spans="1:40" outlineLevel="1" x14ac:dyDescent="0.25">
      <c r="A25" s="5" t="s">
        <v>14</v>
      </c>
      <c r="B25" s="24">
        <v>125</v>
      </c>
      <c r="C25" s="22">
        <v>125</v>
      </c>
      <c r="D25" s="22">
        <v>250</v>
      </c>
      <c r="E25" s="22">
        <v>42</v>
      </c>
      <c r="F25" s="22">
        <v>292</v>
      </c>
      <c r="G25" s="22">
        <v>0</v>
      </c>
      <c r="H25" s="23">
        <v>292</v>
      </c>
      <c r="I25" s="6"/>
      <c r="J25" s="24">
        <v>125</v>
      </c>
      <c r="K25" s="22">
        <v>125</v>
      </c>
      <c r="L25" s="22">
        <v>250</v>
      </c>
      <c r="M25" s="22">
        <v>125</v>
      </c>
      <c r="N25" s="22">
        <v>375</v>
      </c>
      <c r="O25" s="22">
        <v>125</v>
      </c>
      <c r="P25" s="23">
        <v>500</v>
      </c>
      <c r="Q25" s="30"/>
      <c r="R25" s="24">
        <v>125</v>
      </c>
      <c r="S25" s="22">
        <v>125</v>
      </c>
      <c r="T25" s="22">
        <v>250</v>
      </c>
      <c r="U25" s="22">
        <v>125</v>
      </c>
      <c r="V25" s="22">
        <v>375</v>
      </c>
      <c r="W25" s="22">
        <v>125</v>
      </c>
      <c r="X25" s="23">
        <v>500</v>
      </c>
      <c r="Y25" s="30"/>
      <c r="Z25" s="24">
        <v>125</v>
      </c>
      <c r="AA25" s="22">
        <v>125</v>
      </c>
      <c r="AB25" s="22">
        <v>250</v>
      </c>
      <c r="AC25" s="22">
        <v>125</v>
      </c>
      <c r="AD25" s="22">
        <v>375</v>
      </c>
      <c r="AE25" s="22">
        <v>125</v>
      </c>
      <c r="AF25" s="23">
        <v>500</v>
      </c>
      <c r="AG25" s="30"/>
      <c r="AH25" s="24">
        <v>0</v>
      </c>
      <c r="AI25" s="22">
        <v>0</v>
      </c>
      <c r="AJ25" s="22">
        <v>0</v>
      </c>
      <c r="AK25" s="22">
        <v>51</v>
      </c>
      <c r="AL25" s="22">
        <v>51</v>
      </c>
      <c r="AM25" s="22">
        <v>125</v>
      </c>
      <c r="AN25" s="23">
        <v>176</v>
      </c>
    </row>
    <row r="26" spans="1:40" outlineLevel="1" x14ac:dyDescent="0.25">
      <c r="A26" s="6" t="s">
        <v>15</v>
      </c>
      <c r="B26" s="24">
        <v>2178</v>
      </c>
      <c r="C26" s="22">
        <v>2178</v>
      </c>
      <c r="D26" s="22">
        <v>4356</v>
      </c>
      <c r="E26" s="22">
        <v>726</v>
      </c>
      <c r="F26" s="22">
        <v>5082</v>
      </c>
      <c r="G26" s="22">
        <v>0</v>
      </c>
      <c r="H26" s="23">
        <v>5082</v>
      </c>
      <c r="I26" s="6"/>
      <c r="J26" s="24">
        <v>2178</v>
      </c>
      <c r="K26" s="22">
        <v>2178</v>
      </c>
      <c r="L26" s="22">
        <v>4356</v>
      </c>
      <c r="M26" s="22">
        <v>2178</v>
      </c>
      <c r="N26" s="22">
        <v>6534</v>
      </c>
      <c r="O26" s="22">
        <v>2178</v>
      </c>
      <c r="P26" s="23">
        <v>8712</v>
      </c>
      <c r="Q26" s="30"/>
      <c r="R26" s="24">
        <v>2278</v>
      </c>
      <c r="S26" s="22">
        <v>2278</v>
      </c>
      <c r="T26" s="22">
        <v>4556</v>
      </c>
      <c r="U26" s="22">
        <v>2244</v>
      </c>
      <c r="V26" s="22">
        <v>6800</v>
      </c>
      <c r="W26" s="22">
        <v>2178</v>
      </c>
      <c r="X26" s="23">
        <v>8978</v>
      </c>
      <c r="Y26" s="30"/>
      <c r="Z26" s="24">
        <v>2378</v>
      </c>
      <c r="AA26" s="22">
        <v>2378</v>
      </c>
      <c r="AB26" s="22">
        <v>4756</v>
      </c>
      <c r="AC26" s="22">
        <v>2344</v>
      </c>
      <c r="AD26" s="22">
        <v>7100</v>
      </c>
      <c r="AE26" s="22">
        <v>2278</v>
      </c>
      <c r="AF26" s="23">
        <v>9378</v>
      </c>
      <c r="AG26" s="30"/>
      <c r="AH26" s="24">
        <v>0</v>
      </c>
      <c r="AI26" s="22">
        <v>0</v>
      </c>
      <c r="AJ26" s="22">
        <v>0</v>
      </c>
      <c r="AK26" s="22">
        <v>793</v>
      </c>
      <c r="AL26" s="22">
        <v>793</v>
      </c>
      <c r="AM26" s="22">
        <v>2378</v>
      </c>
      <c r="AN26" s="23">
        <v>3171</v>
      </c>
    </row>
    <row r="27" spans="1:40" s="163" customFormat="1" outlineLevel="1" x14ac:dyDescent="0.25">
      <c r="A27" s="5" t="s">
        <v>16</v>
      </c>
      <c r="B27" s="160">
        <v>0</v>
      </c>
      <c r="C27" s="161">
        <v>0</v>
      </c>
      <c r="D27" s="161">
        <v>0</v>
      </c>
      <c r="E27" s="161">
        <v>0</v>
      </c>
      <c r="F27" s="161">
        <v>0</v>
      </c>
      <c r="G27" s="161">
        <v>0</v>
      </c>
      <c r="H27" s="162">
        <v>0</v>
      </c>
      <c r="I27" s="35"/>
      <c r="J27" s="160">
        <v>0</v>
      </c>
      <c r="K27" s="161">
        <v>0</v>
      </c>
      <c r="L27" s="161">
        <v>0</v>
      </c>
      <c r="M27" s="161">
        <v>0</v>
      </c>
      <c r="N27" s="161">
        <v>0</v>
      </c>
      <c r="O27" s="161">
        <v>0</v>
      </c>
      <c r="P27" s="162">
        <v>0</v>
      </c>
      <c r="Q27" s="164"/>
      <c r="R27" s="160">
        <v>0</v>
      </c>
      <c r="S27" s="161">
        <v>0</v>
      </c>
      <c r="T27" s="161">
        <v>0</v>
      </c>
      <c r="U27" s="161">
        <v>0</v>
      </c>
      <c r="V27" s="161">
        <v>0</v>
      </c>
      <c r="W27" s="161">
        <v>0</v>
      </c>
      <c r="X27" s="162">
        <v>0</v>
      </c>
      <c r="Y27" s="164"/>
      <c r="Z27" s="160">
        <v>0</v>
      </c>
      <c r="AA27" s="161">
        <v>0</v>
      </c>
      <c r="AB27" s="161">
        <v>0</v>
      </c>
      <c r="AC27" s="161">
        <v>0</v>
      </c>
      <c r="AD27" s="161">
        <v>0</v>
      </c>
      <c r="AE27" s="161">
        <v>0</v>
      </c>
      <c r="AF27" s="162">
        <v>0</v>
      </c>
      <c r="AG27" s="164"/>
      <c r="AH27" s="160">
        <v>0</v>
      </c>
      <c r="AI27" s="161">
        <v>0</v>
      </c>
      <c r="AJ27" s="161">
        <v>0</v>
      </c>
      <c r="AK27" s="161">
        <v>0</v>
      </c>
      <c r="AL27" s="161">
        <v>0</v>
      </c>
      <c r="AM27" s="161">
        <v>0</v>
      </c>
      <c r="AN27" s="162">
        <v>0</v>
      </c>
    </row>
    <row r="28" spans="1:40" s="14" customFormat="1" x14ac:dyDescent="0.25">
      <c r="A28" s="16" t="s">
        <v>17</v>
      </c>
      <c r="B28" s="25">
        <v>4351</v>
      </c>
      <c r="C28" s="20">
        <v>7284</v>
      </c>
      <c r="D28" s="20">
        <v>11635</v>
      </c>
      <c r="E28" s="20">
        <v>2712</v>
      </c>
      <c r="F28" s="20">
        <v>14347</v>
      </c>
      <c r="G28" s="20">
        <v>0</v>
      </c>
      <c r="H28" s="21">
        <v>14347</v>
      </c>
      <c r="I28" s="12"/>
      <c r="J28" s="25">
        <v>5855</v>
      </c>
      <c r="K28" s="20">
        <v>5829</v>
      </c>
      <c r="L28" s="20">
        <v>11684</v>
      </c>
      <c r="M28" s="20">
        <v>2833</v>
      </c>
      <c r="N28" s="20">
        <v>14517</v>
      </c>
      <c r="O28" s="20">
        <v>3396</v>
      </c>
      <c r="P28" s="21">
        <v>17913</v>
      </c>
      <c r="Q28" s="26"/>
      <c r="R28" s="25">
        <v>8938</v>
      </c>
      <c r="S28" s="20">
        <v>3888</v>
      </c>
      <c r="T28" s="20">
        <v>12826</v>
      </c>
      <c r="U28" s="20">
        <v>3490</v>
      </c>
      <c r="V28" s="20">
        <v>16316</v>
      </c>
      <c r="W28" s="20">
        <v>1603</v>
      </c>
      <c r="X28" s="21">
        <v>17919</v>
      </c>
      <c r="Y28" s="26"/>
      <c r="Z28" s="25">
        <v>7144</v>
      </c>
      <c r="AA28" s="20">
        <v>8876</v>
      </c>
      <c r="AB28" s="20">
        <v>16020</v>
      </c>
      <c r="AC28" s="20">
        <v>5085</v>
      </c>
      <c r="AD28" s="20">
        <v>21105</v>
      </c>
      <c r="AE28" s="20">
        <v>4396</v>
      </c>
      <c r="AF28" s="21">
        <v>25501</v>
      </c>
      <c r="AG28" s="26"/>
      <c r="AH28" s="25">
        <v>0</v>
      </c>
      <c r="AI28" s="20">
        <v>0</v>
      </c>
      <c r="AJ28" s="20">
        <v>0</v>
      </c>
      <c r="AK28" s="20">
        <v>-3808</v>
      </c>
      <c r="AL28" s="20">
        <v>-3808</v>
      </c>
      <c r="AM28" s="20">
        <v>-3025</v>
      </c>
      <c r="AN28" s="21">
        <v>-6833</v>
      </c>
    </row>
    <row r="29" spans="1:40" outlineLevel="1" x14ac:dyDescent="0.25">
      <c r="A29" s="5" t="s">
        <v>18</v>
      </c>
      <c r="B29" s="24">
        <v>444</v>
      </c>
      <c r="C29" s="22">
        <v>-855</v>
      </c>
      <c r="D29" s="22">
        <v>-411</v>
      </c>
      <c r="E29" s="22">
        <v>-43</v>
      </c>
      <c r="F29" s="22">
        <v>-454</v>
      </c>
      <c r="G29" s="22">
        <v>0</v>
      </c>
      <c r="H29" s="23">
        <v>-454</v>
      </c>
      <c r="I29" s="6"/>
      <c r="J29" s="24">
        <v>114</v>
      </c>
      <c r="K29" s="22">
        <v>141</v>
      </c>
      <c r="L29" s="22">
        <v>255</v>
      </c>
      <c r="M29" s="22">
        <v>-295</v>
      </c>
      <c r="N29" s="22">
        <v>-40</v>
      </c>
      <c r="O29" s="22">
        <v>271</v>
      </c>
      <c r="P29" s="23">
        <v>231</v>
      </c>
      <c r="Q29" s="30"/>
      <c r="R29" s="24">
        <v>-177</v>
      </c>
      <c r="S29" s="22">
        <v>314</v>
      </c>
      <c r="T29" s="22">
        <v>137</v>
      </c>
      <c r="U29" s="22">
        <v>256</v>
      </c>
      <c r="V29" s="22">
        <v>393</v>
      </c>
      <c r="W29" s="22">
        <v>159</v>
      </c>
      <c r="X29" s="23">
        <v>552</v>
      </c>
      <c r="Y29" s="30"/>
      <c r="Z29" s="24">
        <v>328</v>
      </c>
      <c r="AA29" s="22">
        <v>-29</v>
      </c>
      <c r="AB29" s="22">
        <v>299</v>
      </c>
      <c r="AC29" s="22">
        <v>26</v>
      </c>
      <c r="AD29" s="22">
        <v>325</v>
      </c>
      <c r="AE29" s="22">
        <v>147</v>
      </c>
      <c r="AF29" s="23">
        <v>472</v>
      </c>
      <c r="AG29" s="30"/>
      <c r="AH29" s="24">
        <v>0</v>
      </c>
      <c r="AI29" s="22">
        <v>0</v>
      </c>
      <c r="AJ29" s="22">
        <v>0</v>
      </c>
      <c r="AK29" s="22">
        <v>232</v>
      </c>
      <c r="AL29" s="22">
        <v>232</v>
      </c>
      <c r="AM29" s="22">
        <v>16</v>
      </c>
      <c r="AN29" s="23">
        <v>248</v>
      </c>
    </row>
    <row r="30" spans="1:40" outlineLevel="1" x14ac:dyDescent="0.25">
      <c r="A30" s="5" t="s">
        <v>19</v>
      </c>
      <c r="B30" s="24">
        <v>1</v>
      </c>
      <c r="C30" s="22">
        <v>0</v>
      </c>
      <c r="D30" s="22">
        <v>1</v>
      </c>
      <c r="E30" s="22">
        <v>0</v>
      </c>
      <c r="F30" s="22">
        <v>1</v>
      </c>
      <c r="G30" s="22">
        <v>0</v>
      </c>
      <c r="H30" s="23">
        <v>1</v>
      </c>
      <c r="I30" s="6"/>
      <c r="J30" s="24">
        <v>3</v>
      </c>
      <c r="K30" s="22">
        <v>2</v>
      </c>
      <c r="L30" s="22">
        <v>5</v>
      </c>
      <c r="M30" s="22">
        <v>1</v>
      </c>
      <c r="N30" s="22">
        <v>6</v>
      </c>
      <c r="O30" s="22">
        <v>1</v>
      </c>
      <c r="P30" s="23">
        <v>7</v>
      </c>
      <c r="Q30" s="30"/>
      <c r="R30" s="24">
        <v>6</v>
      </c>
      <c r="S30" s="22">
        <v>-17</v>
      </c>
      <c r="T30" s="22">
        <v>-11</v>
      </c>
      <c r="U30" s="22">
        <v>3</v>
      </c>
      <c r="V30" s="22">
        <v>-8</v>
      </c>
      <c r="W30" s="22">
        <v>4</v>
      </c>
      <c r="X30" s="23">
        <v>-4</v>
      </c>
      <c r="Y30" s="30"/>
      <c r="Z30" s="24">
        <v>3</v>
      </c>
      <c r="AA30" s="22">
        <v>3</v>
      </c>
      <c r="AB30" s="22">
        <v>6</v>
      </c>
      <c r="AC30" s="22">
        <v>5</v>
      </c>
      <c r="AD30" s="22">
        <v>11</v>
      </c>
      <c r="AE30" s="22">
        <v>11</v>
      </c>
      <c r="AF30" s="23">
        <v>22</v>
      </c>
      <c r="AG30" s="30"/>
      <c r="AH30" s="24">
        <v>0</v>
      </c>
      <c r="AI30" s="22">
        <v>0</v>
      </c>
      <c r="AJ30" s="22">
        <v>0</v>
      </c>
      <c r="AK30" s="22">
        <v>2</v>
      </c>
      <c r="AL30" s="22">
        <v>2</v>
      </c>
      <c r="AM30" s="22">
        <v>1</v>
      </c>
      <c r="AN30" s="23">
        <v>3</v>
      </c>
    </row>
    <row r="31" spans="1:40" outlineLevel="1" x14ac:dyDescent="0.25">
      <c r="A31" s="5" t="s">
        <v>20</v>
      </c>
      <c r="B31" s="24">
        <v>1521</v>
      </c>
      <c r="C31" s="22">
        <v>1544</v>
      </c>
      <c r="D31" s="22">
        <v>3065</v>
      </c>
      <c r="E31" s="22">
        <v>512</v>
      </c>
      <c r="F31" s="22">
        <v>3577</v>
      </c>
      <c r="G31" s="22">
        <v>0</v>
      </c>
      <c r="H31" s="23">
        <v>3577</v>
      </c>
      <c r="I31" s="6"/>
      <c r="J31" s="24">
        <v>2545</v>
      </c>
      <c r="K31" s="22">
        <v>2570</v>
      </c>
      <c r="L31" s="22">
        <v>5115</v>
      </c>
      <c r="M31" s="22">
        <v>2448</v>
      </c>
      <c r="N31" s="22">
        <v>7563</v>
      </c>
      <c r="O31" s="22">
        <v>2354</v>
      </c>
      <c r="P31" s="23">
        <v>9917</v>
      </c>
      <c r="Q31" s="30"/>
      <c r="R31" s="24">
        <v>3001</v>
      </c>
      <c r="S31" s="22">
        <v>2942</v>
      </c>
      <c r="T31" s="22">
        <v>5943</v>
      </c>
      <c r="U31" s="22">
        <v>2645</v>
      </c>
      <c r="V31" s="22">
        <v>8588</v>
      </c>
      <c r="W31" s="22">
        <v>2575</v>
      </c>
      <c r="X31" s="23">
        <v>11163</v>
      </c>
      <c r="Y31" s="30"/>
      <c r="Z31" s="24">
        <v>3161</v>
      </c>
      <c r="AA31" s="22">
        <v>3447</v>
      </c>
      <c r="AB31" s="22">
        <v>6608</v>
      </c>
      <c r="AC31" s="22">
        <v>3324</v>
      </c>
      <c r="AD31" s="22">
        <v>9932</v>
      </c>
      <c r="AE31" s="22">
        <v>3114</v>
      </c>
      <c r="AF31" s="23">
        <v>13046</v>
      </c>
      <c r="AG31" s="30"/>
      <c r="AH31" s="24">
        <v>0</v>
      </c>
      <c r="AI31" s="22">
        <v>0</v>
      </c>
      <c r="AJ31" s="22">
        <v>0</v>
      </c>
      <c r="AK31" s="22">
        <v>1312</v>
      </c>
      <c r="AL31" s="22">
        <v>1312</v>
      </c>
      <c r="AM31" s="22">
        <v>3052</v>
      </c>
      <c r="AN31" s="23">
        <v>4364</v>
      </c>
    </row>
    <row r="32" spans="1:40" ht="17.25" outlineLevel="1" x14ac:dyDescent="0.4">
      <c r="A32" s="5" t="s">
        <v>21</v>
      </c>
      <c r="B32" s="31">
        <v>987</v>
      </c>
      <c r="C32" s="32">
        <v>2669</v>
      </c>
      <c r="D32" s="32">
        <v>3656</v>
      </c>
      <c r="E32" s="32">
        <v>1355</v>
      </c>
      <c r="F32" s="32">
        <v>5011</v>
      </c>
      <c r="G32" s="32">
        <v>0</v>
      </c>
      <c r="H32" s="33">
        <v>5011</v>
      </c>
      <c r="I32" s="6"/>
      <c r="J32" s="31">
        <v>1502</v>
      </c>
      <c r="K32" s="32">
        <v>1465</v>
      </c>
      <c r="L32" s="32">
        <v>2967</v>
      </c>
      <c r="M32" s="32">
        <v>251</v>
      </c>
      <c r="N32" s="32">
        <v>3218</v>
      </c>
      <c r="O32" s="32">
        <v>-74</v>
      </c>
      <c r="P32" s="33">
        <v>3144</v>
      </c>
      <c r="Q32" s="30"/>
      <c r="R32" s="31">
        <v>3104</v>
      </c>
      <c r="S32" s="32">
        <v>331</v>
      </c>
      <c r="T32" s="32">
        <v>3435</v>
      </c>
      <c r="U32" s="32">
        <v>-786</v>
      </c>
      <c r="V32" s="32">
        <v>2649</v>
      </c>
      <c r="W32" s="32">
        <v>-451</v>
      </c>
      <c r="X32" s="33">
        <v>2198</v>
      </c>
      <c r="Y32" s="30"/>
      <c r="Z32" s="31">
        <v>1663</v>
      </c>
      <c r="AA32" s="32">
        <v>2362</v>
      </c>
      <c r="AB32" s="32">
        <v>4025</v>
      </c>
      <c r="AC32" s="32">
        <v>653</v>
      </c>
      <c r="AD32" s="32">
        <v>4678</v>
      </c>
      <c r="AE32" s="32">
        <v>460</v>
      </c>
      <c r="AF32" s="33">
        <v>5138</v>
      </c>
      <c r="AG32" s="30"/>
      <c r="AH32" s="31">
        <v>0</v>
      </c>
      <c r="AI32" s="32">
        <v>0</v>
      </c>
      <c r="AJ32" s="32">
        <v>0</v>
      </c>
      <c r="AK32" s="32">
        <v>-2024</v>
      </c>
      <c r="AL32" s="32">
        <v>-2024</v>
      </c>
      <c r="AM32" s="32">
        <v>-2257</v>
      </c>
      <c r="AN32" s="33">
        <v>-4281</v>
      </c>
    </row>
    <row r="33" spans="1:40" s="14" customFormat="1" x14ac:dyDescent="0.25">
      <c r="A33" s="16" t="s">
        <v>24</v>
      </c>
      <c r="B33" s="25">
        <v>1398</v>
      </c>
      <c r="C33" s="20">
        <v>3926</v>
      </c>
      <c r="D33" s="20">
        <v>5324</v>
      </c>
      <c r="E33" s="20">
        <v>888</v>
      </c>
      <c r="F33" s="20">
        <v>6212</v>
      </c>
      <c r="G33" s="20">
        <v>0</v>
      </c>
      <c r="H33" s="21">
        <v>6212</v>
      </c>
      <c r="I33" s="12"/>
      <c r="J33" s="25">
        <v>1691</v>
      </c>
      <c r="K33" s="20">
        <v>1651</v>
      </c>
      <c r="L33" s="20">
        <v>3342</v>
      </c>
      <c r="M33" s="20">
        <v>428</v>
      </c>
      <c r="N33" s="20">
        <v>3770</v>
      </c>
      <c r="O33" s="20">
        <v>844</v>
      </c>
      <c r="P33" s="21">
        <v>4614</v>
      </c>
      <c r="Q33" s="26"/>
      <c r="R33" s="25">
        <v>3004</v>
      </c>
      <c r="S33" s="20">
        <v>318</v>
      </c>
      <c r="T33" s="20">
        <v>3322</v>
      </c>
      <c r="U33" s="20">
        <v>1372</v>
      </c>
      <c r="V33" s="20">
        <v>4694</v>
      </c>
      <c r="W33" s="20">
        <v>-684</v>
      </c>
      <c r="X33" s="21">
        <v>4010</v>
      </c>
      <c r="Y33" s="26"/>
      <c r="Z33" s="25">
        <v>1989</v>
      </c>
      <c r="AA33" s="20">
        <v>3093</v>
      </c>
      <c r="AB33" s="20">
        <v>5082</v>
      </c>
      <c r="AC33" s="20">
        <v>1077</v>
      </c>
      <c r="AD33" s="20">
        <v>6159</v>
      </c>
      <c r="AE33" s="20">
        <v>664</v>
      </c>
      <c r="AF33" s="21">
        <v>6823</v>
      </c>
      <c r="AG33" s="26"/>
      <c r="AH33" s="25">
        <v>0</v>
      </c>
      <c r="AI33" s="20">
        <v>0</v>
      </c>
      <c r="AJ33" s="20">
        <v>0</v>
      </c>
      <c r="AK33" s="20">
        <v>-3330</v>
      </c>
      <c r="AL33" s="20">
        <v>-3330</v>
      </c>
      <c r="AM33" s="20">
        <v>-3837</v>
      </c>
      <c r="AN33" s="21">
        <v>-7167</v>
      </c>
    </row>
    <row r="34" spans="1:40" outlineLevel="1" x14ac:dyDescent="0.25">
      <c r="A34" s="34" t="s">
        <v>54</v>
      </c>
      <c r="B34" s="24"/>
      <c r="C34" s="36"/>
      <c r="D34" s="36"/>
      <c r="E34" s="36"/>
      <c r="F34" s="22"/>
      <c r="G34" s="36"/>
      <c r="H34" s="37"/>
      <c r="I34" s="35"/>
      <c r="J34" s="24"/>
      <c r="K34" s="36"/>
      <c r="L34" s="36"/>
      <c r="M34" s="36"/>
      <c r="N34" s="22"/>
      <c r="O34" s="36"/>
      <c r="P34" s="37"/>
      <c r="Q34" s="6"/>
      <c r="R34" s="24"/>
      <c r="S34" s="36"/>
      <c r="T34" s="36"/>
      <c r="U34" s="36"/>
      <c r="V34" s="22"/>
      <c r="W34" s="36"/>
      <c r="X34" s="37"/>
      <c r="Y34" s="6"/>
      <c r="Z34" s="24"/>
      <c r="AA34" s="36"/>
      <c r="AB34" s="36"/>
      <c r="AC34" s="36"/>
      <c r="AD34" s="22"/>
      <c r="AE34" s="36"/>
      <c r="AF34" s="37"/>
      <c r="AG34" s="6"/>
      <c r="AH34" s="24"/>
      <c r="AI34" s="36"/>
      <c r="AJ34" s="36"/>
      <c r="AK34" s="36"/>
      <c r="AL34" s="22"/>
      <c r="AM34" s="36"/>
      <c r="AN34" s="37"/>
    </row>
    <row r="35" spans="1:40" outlineLevel="1" x14ac:dyDescent="0.25">
      <c r="A35" s="5" t="s">
        <v>21</v>
      </c>
      <c r="B35" s="24">
        <v>987</v>
      </c>
      <c r="C35" s="22">
        <v>2669</v>
      </c>
      <c r="D35" s="22">
        <v>3656</v>
      </c>
      <c r="E35" s="22">
        <v>0</v>
      </c>
      <c r="F35" s="22">
        <v>0</v>
      </c>
      <c r="G35" s="22">
        <v>0</v>
      </c>
      <c r="H35" s="23">
        <v>0</v>
      </c>
      <c r="I35" s="6"/>
      <c r="J35" s="24">
        <v>1502</v>
      </c>
      <c r="K35" s="22">
        <v>1465</v>
      </c>
      <c r="L35" s="22">
        <v>2967</v>
      </c>
      <c r="M35" s="22">
        <v>251</v>
      </c>
      <c r="N35" s="22">
        <v>3218</v>
      </c>
      <c r="O35" s="22">
        <v>-74</v>
      </c>
      <c r="P35" s="23">
        <v>3144</v>
      </c>
      <c r="Q35" s="30"/>
      <c r="R35" s="24">
        <v>3104</v>
      </c>
      <c r="S35" s="22">
        <v>331</v>
      </c>
      <c r="T35" s="22">
        <v>3435</v>
      </c>
      <c r="U35" s="22">
        <v>-786</v>
      </c>
      <c r="V35" s="22">
        <v>2649</v>
      </c>
      <c r="W35" s="22">
        <v>-451</v>
      </c>
      <c r="X35" s="23">
        <v>2198</v>
      </c>
      <c r="Y35" s="30"/>
      <c r="Z35" s="24">
        <v>1663</v>
      </c>
      <c r="AA35" s="22">
        <v>2362</v>
      </c>
      <c r="AB35" s="22">
        <v>4025</v>
      </c>
      <c r="AC35" s="22">
        <v>653</v>
      </c>
      <c r="AD35" s="22">
        <v>4678</v>
      </c>
      <c r="AE35" s="22">
        <v>460</v>
      </c>
      <c r="AF35" s="23">
        <v>5138</v>
      </c>
      <c r="AG35" s="30"/>
      <c r="AH35" s="24">
        <v>0</v>
      </c>
      <c r="AI35" s="22">
        <v>0</v>
      </c>
      <c r="AJ35" s="22">
        <v>0</v>
      </c>
      <c r="AK35" s="22">
        <v>-2024</v>
      </c>
      <c r="AL35" s="22">
        <v>-2024</v>
      </c>
      <c r="AM35" s="22">
        <v>-2257</v>
      </c>
      <c r="AN35" s="23">
        <v>-4281</v>
      </c>
    </row>
    <row r="36" spans="1:40" outlineLevel="1" x14ac:dyDescent="0.25">
      <c r="A36" s="5" t="s">
        <v>19</v>
      </c>
      <c r="B36" s="24">
        <v>1</v>
      </c>
      <c r="C36" s="22">
        <v>0</v>
      </c>
      <c r="D36" s="22">
        <v>1</v>
      </c>
      <c r="E36" s="22">
        <v>0</v>
      </c>
      <c r="F36" s="22">
        <v>0</v>
      </c>
      <c r="G36" s="22">
        <v>0</v>
      </c>
      <c r="H36" s="23">
        <v>0</v>
      </c>
      <c r="I36" s="6"/>
      <c r="J36" s="24">
        <v>3</v>
      </c>
      <c r="K36" s="22">
        <v>2</v>
      </c>
      <c r="L36" s="22">
        <v>5</v>
      </c>
      <c r="M36" s="22">
        <v>1</v>
      </c>
      <c r="N36" s="22">
        <v>6</v>
      </c>
      <c r="O36" s="22">
        <v>1</v>
      </c>
      <c r="P36" s="23">
        <v>7</v>
      </c>
      <c r="Q36" s="30"/>
      <c r="R36" s="24">
        <v>0</v>
      </c>
      <c r="S36" s="22">
        <v>-11</v>
      </c>
      <c r="T36" s="22">
        <v>-11</v>
      </c>
      <c r="U36" s="22">
        <v>3</v>
      </c>
      <c r="V36" s="22">
        <v>-8</v>
      </c>
      <c r="W36" s="22">
        <v>4</v>
      </c>
      <c r="X36" s="23">
        <v>-4</v>
      </c>
      <c r="Y36" s="30"/>
      <c r="Z36" s="24">
        <v>0</v>
      </c>
      <c r="AA36" s="22">
        <v>6</v>
      </c>
      <c r="AB36" s="22">
        <v>6</v>
      </c>
      <c r="AC36" s="22">
        <v>5</v>
      </c>
      <c r="AD36" s="22">
        <v>11</v>
      </c>
      <c r="AE36" s="22">
        <v>11</v>
      </c>
      <c r="AF36" s="23">
        <v>22</v>
      </c>
      <c r="AG36" s="30"/>
      <c r="AH36" s="24">
        <v>0</v>
      </c>
      <c r="AI36" s="22">
        <v>0</v>
      </c>
      <c r="AJ36" s="22">
        <v>0</v>
      </c>
      <c r="AK36" s="22">
        <v>2</v>
      </c>
      <c r="AL36" s="22">
        <v>2</v>
      </c>
      <c r="AM36" s="22">
        <v>1</v>
      </c>
      <c r="AN36" s="23">
        <v>3</v>
      </c>
    </row>
    <row r="37" spans="1:40" outlineLevel="1" x14ac:dyDescent="0.25">
      <c r="A37" s="5" t="s">
        <v>20</v>
      </c>
      <c r="B37" s="24">
        <v>1521</v>
      </c>
      <c r="C37" s="22">
        <v>1544</v>
      </c>
      <c r="D37" s="22">
        <v>3065</v>
      </c>
      <c r="E37" s="22">
        <v>0</v>
      </c>
      <c r="F37" s="22">
        <v>0</v>
      </c>
      <c r="G37" s="22">
        <v>0</v>
      </c>
      <c r="H37" s="23">
        <v>0</v>
      </c>
      <c r="I37" s="6"/>
      <c r="J37" s="24">
        <v>2545</v>
      </c>
      <c r="K37" s="22">
        <v>2570</v>
      </c>
      <c r="L37" s="22">
        <v>5115</v>
      </c>
      <c r="M37" s="22">
        <v>2448</v>
      </c>
      <c r="N37" s="22">
        <v>7563</v>
      </c>
      <c r="O37" s="22">
        <v>2354</v>
      </c>
      <c r="P37" s="23">
        <v>9917</v>
      </c>
      <c r="Q37" s="30"/>
      <c r="R37" s="24">
        <v>3001</v>
      </c>
      <c r="S37" s="22">
        <v>2943</v>
      </c>
      <c r="T37" s="22">
        <v>5944</v>
      </c>
      <c r="U37" s="22">
        <v>2644</v>
      </c>
      <c r="V37" s="22">
        <v>8588</v>
      </c>
      <c r="W37" s="22">
        <v>2575</v>
      </c>
      <c r="X37" s="23">
        <v>11163</v>
      </c>
      <c r="Y37" s="30"/>
      <c r="Z37" s="24">
        <v>3162</v>
      </c>
      <c r="AA37" s="22">
        <v>3446</v>
      </c>
      <c r="AB37" s="22">
        <v>6608</v>
      </c>
      <c r="AC37" s="22">
        <v>3324</v>
      </c>
      <c r="AD37" s="22">
        <v>9932</v>
      </c>
      <c r="AE37" s="22">
        <v>3114</v>
      </c>
      <c r="AF37" s="23">
        <v>13046</v>
      </c>
      <c r="AG37" s="30"/>
      <c r="AH37" s="24">
        <v>0</v>
      </c>
      <c r="AI37" s="22">
        <v>0</v>
      </c>
      <c r="AJ37" s="22">
        <v>0</v>
      </c>
      <c r="AK37" s="22">
        <v>1310</v>
      </c>
      <c r="AL37" s="22">
        <v>1310</v>
      </c>
      <c r="AM37" s="22">
        <v>3054</v>
      </c>
      <c r="AN37" s="23">
        <v>4364</v>
      </c>
    </row>
    <row r="38" spans="1:40" outlineLevel="1" x14ac:dyDescent="0.25">
      <c r="A38" s="5" t="s">
        <v>55</v>
      </c>
      <c r="B38" s="83">
        <v>3107</v>
      </c>
      <c r="C38" s="22">
        <v>3185</v>
      </c>
      <c r="D38" s="36">
        <v>6292</v>
      </c>
      <c r="E38" s="22">
        <v>0</v>
      </c>
      <c r="F38" s="22">
        <v>0</v>
      </c>
      <c r="G38" s="22">
        <v>0</v>
      </c>
      <c r="H38" s="23">
        <v>0</v>
      </c>
      <c r="I38" s="6"/>
      <c r="J38" s="24">
        <v>3374</v>
      </c>
      <c r="K38" s="22">
        <v>3476</v>
      </c>
      <c r="L38" s="36">
        <v>6850</v>
      </c>
      <c r="M38" s="22">
        <v>3352</v>
      </c>
      <c r="N38" s="22">
        <v>10202</v>
      </c>
      <c r="O38" s="22">
        <v>3037</v>
      </c>
      <c r="P38" s="37">
        <v>13239</v>
      </c>
      <c r="Q38" s="30"/>
      <c r="R38" s="24">
        <v>3196</v>
      </c>
      <c r="S38" s="22">
        <v>3242</v>
      </c>
      <c r="T38" s="36">
        <v>6438</v>
      </c>
      <c r="U38" s="22">
        <v>3270</v>
      </c>
      <c r="V38" s="22">
        <v>9708</v>
      </c>
      <c r="W38" s="22">
        <v>3221</v>
      </c>
      <c r="X38" s="23">
        <v>12929</v>
      </c>
      <c r="Y38" s="30"/>
      <c r="Z38" s="83">
        <v>3258</v>
      </c>
      <c r="AA38" s="22">
        <v>3281</v>
      </c>
      <c r="AB38" s="36">
        <v>6539</v>
      </c>
      <c r="AC38" s="22">
        <v>3257</v>
      </c>
      <c r="AD38" s="36">
        <v>9796</v>
      </c>
      <c r="AE38" s="22">
        <v>3178</v>
      </c>
      <c r="AF38" s="37">
        <v>12974</v>
      </c>
      <c r="AG38" s="30"/>
      <c r="AH38" s="83">
        <v>0</v>
      </c>
      <c r="AI38" s="22">
        <v>0</v>
      </c>
      <c r="AJ38" s="36">
        <v>0</v>
      </c>
      <c r="AK38" s="22">
        <v>2578</v>
      </c>
      <c r="AL38" s="36">
        <v>2578</v>
      </c>
      <c r="AM38" s="22">
        <v>7798</v>
      </c>
      <c r="AN38" s="37">
        <v>10376</v>
      </c>
    </row>
    <row r="39" spans="1:40" s="163" customFormat="1" ht="17.25" outlineLevel="1" x14ac:dyDescent="0.4">
      <c r="A39" s="5" t="s">
        <v>56</v>
      </c>
      <c r="B39" s="198">
        <v>123</v>
      </c>
      <c r="C39" s="161">
        <v>124</v>
      </c>
      <c r="D39" s="192">
        <v>247</v>
      </c>
      <c r="E39" s="32">
        <v>0</v>
      </c>
      <c r="F39" s="32">
        <v>0</v>
      </c>
      <c r="G39" s="32">
        <v>0</v>
      </c>
      <c r="H39" s="33">
        <v>0</v>
      </c>
      <c r="I39" s="35"/>
      <c r="J39" s="160">
        <v>148</v>
      </c>
      <c r="K39" s="161">
        <v>148</v>
      </c>
      <c r="L39" s="192">
        <v>296</v>
      </c>
      <c r="M39" s="161">
        <v>148</v>
      </c>
      <c r="N39" s="161">
        <v>444</v>
      </c>
      <c r="O39" s="161">
        <v>147</v>
      </c>
      <c r="P39" s="193">
        <v>591</v>
      </c>
      <c r="Q39" s="164"/>
      <c r="R39" s="160">
        <v>142</v>
      </c>
      <c r="S39" s="161">
        <v>142</v>
      </c>
      <c r="T39" s="192">
        <v>284</v>
      </c>
      <c r="U39" s="161">
        <v>150</v>
      </c>
      <c r="V39" s="161">
        <v>434</v>
      </c>
      <c r="W39" s="161">
        <v>149</v>
      </c>
      <c r="X39" s="162">
        <v>583</v>
      </c>
      <c r="Y39" s="164"/>
      <c r="Z39" s="198">
        <v>149</v>
      </c>
      <c r="AA39" s="161">
        <v>146</v>
      </c>
      <c r="AB39" s="192">
        <v>295</v>
      </c>
      <c r="AC39" s="161">
        <v>145</v>
      </c>
      <c r="AD39" s="192">
        <v>440</v>
      </c>
      <c r="AE39" s="161">
        <v>144</v>
      </c>
      <c r="AF39" s="193">
        <v>584</v>
      </c>
      <c r="AG39" s="164"/>
      <c r="AH39" s="198">
        <v>0</v>
      </c>
      <c r="AI39" s="161">
        <v>0</v>
      </c>
      <c r="AJ39" s="192">
        <v>0</v>
      </c>
      <c r="AK39" s="161">
        <v>52</v>
      </c>
      <c r="AL39" s="192">
        <v>52</v>
      </c>
      <c r="AM39" s="161">
        <v>152</v>
      </c>
      <c r="AN39" s="193">
        <v>204</v>
      </c>
    </row>
    <row r="40" spans="1:40" s="14" customFormat="1" x14ac:dyDescent="0.25">
      <c r="A40" s="16" t="s">
        <v>57</v>
      </c>
      <c r="B40" s="25">
        <v>7137</v>
      </c>
      <c r="C40" s="20">
        <v>11448</v>
      </c>
      <c r="D40" s="20">
        <v>18585</v>
      </c>
      <c r="E40" s="22">
        <v>0</v>
      </c>
      <c r="F40" s="22">
        <v>0</v>
      </c>
      <c r="G40" s="22">
        <v>0</v>
      </c>
      <c r="H40" s="23">
        <v>0</v>
      </c>
      <c r="I40" s="12"/>
      <c r="J40" s="25">
        <v>9263</v>
      </c>
      <c r="K40" s="20">
        <v>9312</v>
      </c>
      <c r="L40" s="20">
        <v>18575</v>
      </c>
      <c r="M40" s="20">
        <v>6628</v>
      </c>
      <c r="N40" s="20">
        <v>25203</v>
      </c>
      <c r="O40" s="20">
        <v>6309</v>
      </c>
      <c r="P40" s="21">
        <v>31512</v>
      </c>
      <c r="Q40" s="26"/>
      <c r="R40" s="25">
        <v>12447</v>
      </c>
      <c r="S40" s="20">
        <v>6965</v>
      </c>
      <c r="T40" s="20">
        <v>19412</v>
      </c>
      <c r="U40" s="20">
        <v>6653</v>
      </c>
      <c r="V40" s="20">
        <v>26065</v>
      </c>
      <c r="W40" s="20">
        <v>4814</v>
      </c>
      <c r="X40" s="21">
        <v>30879</v>
      </c>
      <c r="Y40" s="26"/>
      <c r="Z40" s="25">
        <v>10221</v>
      </c>
      <c r="AA40" s="20">
        <v>12334</v>
      </c>
      <c r="AB40" s="20">
        <v>22555</v>
      </c>
      <c r="AC40" s="20">
        <v>8461</v>
      </c>
      <c r="AD40" s="20">
        <v>31016</v>
      </c>
      <c r="AE40" s="20">
        <v>7571</v>
      </c>
      <c r="AF40" s="21">
        <v>38587</v>
      </c>
      <c r="AG40" s="26"/>
      <c r="AH40" s="25">
        <v>0</v>
      </c>
      <c r="AI40" s="20">
        <v>0</v>
      </c>
      <c r="AJ40" s="20">
        <v>0</v>
      </c>
      <c r="AK40" s="20">
        <v>-1412</v>
      </c>
      <c r="AL40" s="20">
        <v>-1412</v>
      </c>
      <c r="AM40" s="20">
        <v>4911</v>
      </c>
      <c r="AN40" s="21">
        <v>3499</v>
      </c>
    </row>
    <row r="41" spans="1:40" outlineLevel="1" x14ac:dyDescent="0.25">
      <c r="A41" s="5" t="s">
        <v>58</v>
      </c>
      <c r="B41" s="83">
        <v>0</v>
      </c>
      <c r="C41" s="36">
        <v>0</v>
      </c>
      <c r="D41" s="36">
        <v>0</v>
      </c>
      <c r="E41" s="22">
        <v>0</v>
      </c>
      <c r="F41" s="22">
        <v>0</v>
      </c>
      <c r="G41" s="22">
        <v>0</v>
      </c>
      <c r="H41" s="23">
        <v>0</v>
      </c>
      <c r="I41" s="6"/>
      <c r="J41" s="24">
        <v>0</v>
      </c>
      <c r="K41" s="36">
        <v>6</v>
      </c>
      <c r="L41" s="36">
        <v>6</v>
      </c>
      <c r="M41" s="36">
        <v>137</v>
      </c>
      <c r="N41" s="22">
        <v>143</v>
      </c>
      <c r="O41" s="36">
        <v>0</v>
      </c>
      <c r="P41" s="37">
        <v>143</v>
      </c>
      <c r="Q41" s="30"/>
      <c r="R41" s="24">
        <v>14</v>
      </c>
      <c r="S41" s="36">
        <v>0</v>
      </c>
      <c r="T41" s="36">
        <v>14</v>
      </c>
      <c r="U41" s="36">
        <v>0</v>
      </c>
      <c r="V41" s="22">
        <v>14</v>
      </c>
      <c r="W41" s="36">
        <v>0</v>
      </c>
      <c r="X41" s="23">
        <v>14</v>
      </c>
      <c r="Y41" s="30"/>
      <c r="Z41" s="24">
        <v>0</v>
      </c>
      <c r="AA41" s="36">
        <v>0</v>
      </c>
      <c r="AB41" s="22">
        <v>0</v>
      </c>
      <c r="AC41" s="36">
        <v>0</v>
      </c>
      <c r="AD41" s="22">
        <v>0</v>
      </c>
      <c r="AE41" s="36">
        <v>15</v>
      </c>
      <c r="AF41" s="23">
        <v>15</v>
      </c>
      <c r="AG41" s="30"/>
      <c r="AH41" s="24">
        <v>0</v>
      </c>
      <c r="AI41" s="36">
        <v>0</v>
      </c>
      <c r="AJ41" s="22">
        <v>0</v>
      </c>
      <c r="AK41" s="36">
        <v>0</v>
      </c>
      <c r="AL41" s="22">
        <v>0</v>
      </c>
      <c r="AM41" s="36">
        <v>0</v>
      </c>
      <c r="AN41" s="23">
        <v>0</v>
      </c>
    </row>
    <row r="42" spans="1:40" outlineLevel="1" x14ac:dyDescent="0.25">
      <c r="A42" s="5" t="s">
        <v>59</v>
      </c>
      <c r="B42" s="83">
        <v>230</v>
      </c>
      <c r="C42" s="36">
        <v>228</v>
      </c>
      <c r="D42" s="36">
        <v>458</v>
      </c>
      <c r="E42" s="22">
        <v>0</v>
      </c>
      <c r="F42" s="22">
        <v>0</v>
      </c>
      <c r="G42" s="22">
        <v>0</v>
      </c>
      <c r="H42" s="23">
        <v>0</v>
      </c>
      <c r="I42" s="6"/>
      <c r="J42" s="24">
        <v>236</v>
      </c>
      <c r="K42" s="36">
        <v>237</v>
      </c>
      <c r="L42" s="36">
        <v>473</v>
      </c>
      <c r="M42" s="36">
        <v>236</v>
      </c>
      <c r="N42" s="22">
        <v>709</v>
      </c>
      <c r="O42" s="36">
        <v>236</v>
      </c>
      <c r="P42" s="37">
        <v>945</v>
      </c>
      <c r="Q42" s="30"/>
      <c r="R42" s="24">
        <v>236</v>
      </c>
      <c r="S42" s="36">
        <v>237</v>
      </c>
      <c r="T42" s="36">
        <v>473</v>
      </c>
      <c r="U42" s="36">
        <v>236</v>
      </c>
      <c r="V42" s="22">
        <v>709</v>
      </c>
      <c r="W42" s="36">
        <v>236</v>
      </c>
      <c r="X42" s="23">
        <v>945</v>
      </c>
      <c r="Y42" s="30"/>
      <c r="Z42" s="5">
        <v>225</v>
      </c>
      <c r="AA42" s="36">
        <v>228</v>
      </c>
      <c r="AB42" s="6">
        <v>453</v>
      </c>
      <c r="AC42" s="36">
        <v>229</v>
      </c>
      <c r="AD42" s="22">
        <v>682</v>
      </c>
      <c r="AE42" s="36">
        <v>240</v>
      </c>
      <c r="AF42" s="23">
        <v>922</v>
      </c>
      <c r="AG42" s="30"/>
      <c r="AH42" s="24">
        <v>0</v>
      </c>
      <c r="AI42" s="36">
        <v>0</v>
      </c>
      <c r="AJ42" s="22">
        <v>0</v>
      </c>
      <c r="AK42" s="36">
        <v>0</v>
      </c>
      <c r="AL42" s="22">
        <v>0</v>
      </c>
      <c r="AM42" s="36">
        <v>112</v>
      </c>
      <c r="AN42" s="23">
        <v>112</v>
      </c>
    </row>
    <row r="43" spans="1:40" outlineLevel="1" x14ac:dyDescent="0.25">
      <c r="A43" s="5" t="s">
        <v>71</v>
      </c>
      <c r="B43" s="83">
        <v>0</v>
      </c>
      <c r="C43" s="36">
        <v>0</v>
      </c>
      <c r="D43" s="36">
        <v>0</v>
      </c>
      <c r="E43" s="22">
        <v>0</v>
      </c>
      <c r="F43" s="22">
        <v>0</v>
      </c>
      <c r="G43" s="22">
        <v>0</v>
      </c>
      <c r="H43" s="23">
        <v>0</v>
      </c>
      <c r="I43" s="6"/>
      <c r="J43" s="24">
        <v>0</v>
      </c>
      <c r="K43" s="36">
        <v>0</v>
      </c>
      <c r="L43" s="36">
        <v>0</v>
      </c>
      <c r="M43" s="36">
        <v>0</v>
      </c>
      <c r="N43" s="22">
        <v>0</v>
      </c>
      <c r="O43" s="36">
        <v>0</v>
      </c>
      <c r="P43" s="37">
        <v>0</v>
      </c>
      <c r="Q43" s="30"/>
      <c r="R43" s="24">
        <v>0</v>
      </c>
      <c r="S43" s="36">
        <v>0</v>
      </c>
      <c r="T43" s="36">
        <v>0</v>
      </c>
      <c r="U43" s="36">
        <v>0</v>
      </c>
      <c r="V43" s="22">
        <v>0</v>
      </c>
      <c r="W43" s="36">
        <v>0</v>
      </c>
      <c r="X43" s="23">
        <v>0</v>
      </c>
      <c r="Y43" s="30"/>
      <c r="Z43" s="5">
        <v>0</v>
      </c>
      <c r="AA43" s="36">
        <v>0</v>
      </c>
      <c r="AB43" s="6">
        <v>0</v>
      </c>
      <c r="AC43" s="36">
        <v>0</v>
      </c>
      <c r="AD43" s="22">
        <v>0</v>
      </c>
      <c r="AE43" s="36">
        <v>0</v>
      </c>
      <c r="AF43" s="23">
        <v>0</v>
      </c>
      <c r="AG43" s="30"/>
      <c r="AH43" s="24">
        <v>0</v>
      </c>
      <c r="AI43" s="36">
        <v>0</v>
      </c>
      <c r="AJ43" s="22">
        <v>0</v>
      </c>
      <c r="AK43" s="36">
        <v>0</v>
      </c>
      <c r="AL43" s="22">
        <v>0</v>
      </c>
      <c r="AM43" s="36">
        <v>0</v>
      </c>
      <c r="AN43" s="23">
        <v>0</v>
      </c>
    </row>
    <row r="44" spans="1:40" outlineLevel="1" x14ac:dyDescent="0.25">
      <c r="A44" s="5" t="s">
        <v>61</v>
      </c>
      <c r="B44" s="83">
        <v>0</v>
      </c>
      <c r="C44" s="36">
        <v>0</v>
      </c>
      <c r="D44" s="36">
        <v>0</v>
      </c>
      <c r="E44" s="22">
        <v>0</v>
      </c>
      <c r="F44" s="22">
        <v>0</v>
      </c>
      <c r="G44" s="22">
        <v>0</v>
      </c>
      <c r="H44" s="23">
        <v>0</v>
      </c>
      <c r="I44" s="6"/>
      <c r="J44" s="24">
        <v>0</v>
      </c>
      <c r="K44" s="36">
        <v>0</v>
      </c>
      <c r="L44" s="36">
        <v>0</v>
      </c>
      <c r="M44" s="36">
        <v>0</v>
      </c>
      <c r="N44" s="22">
        <v>0</v>
      </c>
      <c r="O44" s="36">
        <v>0</v>
      </c>
      <c r="P44" s="37">
        <v>0</v>
      </c>
      <c r="Q44" s="30"/>
      <c r="R44" s="24">
        <v>0</v>
      </c>
      <c r="S44" s="36">
        <v>0</v>
      </c>
      <c r="T44" s="36">
        <v>0</v>
      </c>
      <c r="U44" s="36">
        <v>0</v>
      </c>
      <c r="V44" s="22">
        <v>0</v>
      </c>
      <c r="W44" s="36">
        <v>0</v>
      </c>
      <c r="X44" s="23">
        <v>0</v>
      </c>
      <c r="Y44" s="30"/>
      <c r="Z44" s="5">
        <v>0</v>
      </c>
      <c r="AA44" s="36">
        <v>0</v>
      </c>
      <c r="AB44" s="6">
        <v>0</v>
      </c>
      <c r="AC44" s="36">
        <v>0</v>
      </c>
      <c r="AD44" s="22">
        <v>0</v>
      </c>
      <c r="AE44" s="36">
        <v>0</v>
      </c>
      <c r="AF44" s="23">
        <v>0</v>
      </c>
      <c r="AG44" s="30"/>
      <c r="AH44" s="24">
        <v>0</v>
      </c>
      <c r="AI44" s="36">
        <v>0</v>
      </c>
      <c r="AJ44" s="22">
        <v>0</v>
      </c>
      <c r="AK44" s="36">
        <v>0</v>
      </c>
      <c r="AL44" s="22">
        <v>0</v>
      </c>
      <c r="AM44" s="36">
        <v>0</v>
      </c>
      <c r="AN44" s="23">
        <v>0</v>
      </c>
    </row>
    <row r="45" spans="1:40" outlineLevel="1" x14ac:dyDescent="0.25">
      <c r="A45" s="5" t="s">
        <v>62</v>
      </c>
      <c r="B45" s="83">
        <v>0</v>
      </c>
      <c r="C45" s="36">
        <v>0</v>
      </c>
      <c r="D45" s="36">
        <v>0</v>
      </c>
      <c r="E45" s="22">
        <v>0</v>
      </c>
      <c r="F45" s="22">
        <v>0</v>
      </c>
      <c r="G45" s="22">
        <v>0</v>
      </c>
      <c r="H45" s="23">
        <v>0</v>
      </c>
      <c r="I45" s="6"/>
      <c r="J45" s="24">
        <v>0</v>
      </c>
      <c r="K45" s="36">
        <v>0</v>
      </c>
      <c r="L45" s="36">
        <v>0</v>
      </c>
      <c r="M45" s="36">
        <v>0</v>
      </c>
      <c r="N45" s="22">
        <v>0</v>
      </c>
      <c r="O45" s="36">
        <v>0</v>
      </c>
      <c r="P45" s="37">
        <v>0</v>
      </c>
      <c r="Q45" s="30"/>
      <c r="R45" s="24">
        <v>0</v>
      </c>
      <c r="S45" s="36">
        <v>0</v>
      </c>
      <c r="T45" s="36">
        <v>0</v>
      </c>
      <c r="U45" s="36">
        <v>0</v>
      </c>
      <c r="V45" s="22">
        <v>0</v>
      </c>
      <c r="W45" s="36">
        <v>0</v>
      </c>
      <c r="X45" s="23">
        <v>0</v>
      </c>
      <c r="Y45" s="30"/>
      <c r="Z45" s="24">
        <v>0</v>
      </c>
      <c r="AA45" s="36">
        <v>0</v>
      </c>
      <c r="AB45" s="22">
        <v>0</v>
      </c>
      <c r="AC45" s="36">
        <v>0</v>
      </c>
      <c r="AD45" s="22">
        <v>0</v>
      </c>
      <c r="AE45" s="36">
        <v>0</v>
      </c>
      <c r="AF45" s="23">
        <v>0</v>
      </c>
      <c r="AG45" s="30"/>
      <c r="AH45" s="24">
        <v>0</v>
      </c>
      <c r="AI45" s="36">
        <v>0</v>
      </c>
      <c r="AJ45" s="22">
        <v>0</v>
      </c>
      <c r="AK45" s="36">
        <v>4374</v>
      </c>
      <c r="AL45" s="22">
        <v>4374</v>
      </c>
      <c r="AM45" s="36">
        <v>0</v>
      </c>
      <c r="AN45" s="23">
        <v>4374</v>
      </c>
    </row>
    <row r="46" spans="1:40" outlineLevel="1" x14ac:dyDescent="0.25">
      <c r="A46" s="5" t="s">
        <v>63</v>
      </c>
      <c r="B46" s="83">
        <v>0</v>
      </c>
      <c r="C46" s="36">
        <v>0</v>
      </c>
      <c r="D46" s="36">
        <v>0</v>
      </c>
      <c r="E46" s="22">
        <v>0</v>
      </c>
      <c r="F46" s="22">
        <v>0</v>
      </c>
      <c r="G46" s="22">
        <v>0</v>
      </c>
      <c r="H46" s="23">
        <v>0</v>
      </c>
      <c r="I46" s="6"/>
      <c r="J46" s="24">
        <v>0</v>
      </c>
      <c r="K46" s="36">
        <v>0</v>
      </c>
      <c r="L46" s="36">
        <v>0</v>
      </c>
      <c r="M46" s="36">
        <v>0</v>
      </c>
      <c r="N46" s="22">
        <v>0</v>
      </c>
      <c r="O46" s="36">
        <v>0</v>
      </c>
      <c r="P46" s="37">
        <v>0</v>
      </c>
      <c r="Q46" s="30"/>
      <c r="R46" s="24">
        <v>0</v>
      </c>
      <c r="S46" s="36">
        <v>0</v>
      </c>
      <c r="T46" s="36">
        <v>0</v>
      </c>
      <c r="U46" s="36">
        <v>0</v>
      </c>
      <c r="V46" s="22">
        <v>0</v>
      </c>
      <c r="W46" s="36">
        <v>0</v>
      </c>
      <c r="X46" s="23">
        <v>0</v>
      </c>
      <c r="Y46" s="30"/>
      <c r="Z46" s="5">
        <v>0</v>
      </c>
      <c r="AA46" s="36">
        <v>0</v>
      </c>
      <c r="AB46" s="6">
        <v>0</v>
      </c>
      <c r="AC46" s="36">
        <v>0</v>
      </c>
      <c r="AD46" s="22">
        <v>0</v>
      </c>
      <c r="AE46" s="36">
        <v>0</v>
      </c>
      <c r="AF46" s="23">
        <v>0</v>
      </c>
      <c r="AG46" s="30"/>
      <c r="AH46" s="24">
        <v>0</v>
      </c>
      <c r="AI46" s="36">
        <v>0</v>
      </c>
      <c r="AJ46" s="22">
        <v>0</v>
      </c>
      <c r="AK46" s="36">
        <v>0</v>
      </c>
      <c r="AL46" s="22">
        <v>0</v>
      </c>
      <c r="AM46" s="36">
        <v>0</v>
      </c>
      <c r="AN46" s="23">
        <v>0</v>
      </c>
    </row>
    <row r="47" spans="1:40" outlineLevel="1" x14ac:dyDescent="0.25">
      <c r="A47" s="5" t="s">
        <v>76</v>
      </c>
      <c r="B47" s="83">
        <v>0</v>
      </c>
      <c r="C47" s="36">
        <v>0</v>
      </c>
      <c r="D47" s="36">
        <v>0</v>
      </c>
      <c r="E47" s="22">
        <v>0</v>
      </c>
      <c r="F47" s="22">
        <v>0</v>
      </c>
      <c r="G47" s="22">
        <v>0</v>
      </c>
      <c r="H47" s="23">
        <v>0</v>
      </c>
      <c r="I47" s="6"/>
      <c r="J47" s="24">
        <v>0</v>
      </c>
      <c r="K47" s="36">
        <v>0</v>
      </c>
      <c r="L47" s="36">
        <v>0</v>
      </c>
      <c r="M47" s="36">
        <v>0</v>
      </c>
      <c r="N47" s="22">
        <v>0</v>
      </c>
      <c r="O47" s="36">
        <v>0</v>
      </c>
      <c r="P47" s="37">
        <v>0</v>
      </c>
      <c r="Q47" s="30"/>
      <c r="R47" s="24">
        <v>0</v>
      </c>
      <c r="S47" s="36">
        <v>0</v>
      </c>
      <c r="T47" s="36">
        <v>0</v>
      </c>
      <c r="U47" s="36">
        <v>0</v>
      </c>
      <c r="V47" s="22">
        <v>0</v>
      </c>
      <c r="W47" s="36">
        <v>0</v>
      </c>
      <c r="X47" s="23">
        <v>0</v>
      </c>
      <c r="Y47" s="30"/>
      <c r="Z47" s="5">
        <v>0</v>
      </c>
      <c r="AA47" s="36">
        <v>0</v>
      </c>
      <c r="AB47" s="6">
        <v>0</v>
      </c>
      <c r="AC47" s="36">
        <v>0</v>
      </c>
      <c r="AD47" s="22">
        <v>0</v>
      </c>
      <c r="AE47" s="36">
        <v>0</v>
      </c>
      <c r="AF47" s="23">
        <v>0</v>
      </c>
      <c r="AG47" s="30"/>
      <c r="AH47" s="24">
        <v>0</v>
      </c>
      <c r="AI47" s="36">
        <v>0</v>
      </c>
      <c r="AJ47" s="22">
        <v>0</v>
      </c>
      <c r="AK47" s="36">
        <v>0</v>
      </c>
      <c r="AL47" s="22">
        <v>0</v>
      </c>
      <c r="AM47" s="36">
        <v>0</v>
      </c>
      <c r="AN47" s="23">
        <v>0</v>
      </c>
    </row>
    <row r="48" spans="1:40" outlineLevel="1" x14ac:dyDescent="0.25">
      <c r="A48" s="5" t="s">
        <v>14</v>
      </c>
      <c r="B48" s="83">
        <v>125</v>
      </c>
      <c r="C48" s="36">
        <v>125</v>
      </c>
      <c r="D48" s="36">
        <v>250</v>
      </c>
      <c r="E48" s="22">
        <v>0</v>
      </c>
      <c r="F48" s="22">
        <v>0</v>
      </c>
      <c r="G48" s="22">
        <v>0</v>
      </c>
      <c r="H48" s="23">
        <v>0</v>
      </c>
      <c r="I48" s="6"/>
      <c r="J48" s="24">
        <v>125</v>
      </c>
      <c r="K48" s="36">
        <v>125</v>
      </c>
      <c r="L48" s="36">
        <v>250</v>
      </c>
      <c r="M48" s="36">
        <v>125</v>
      </c>
      <c r="N48" s="22">
        <v>375</v>
      </c>
      <c r="O48" s="36">
        <v>125</v>
      </c>
      <c r="P48" s="37">
        <v>500</v>
      </c>
      <c r="Q48" s="30"/>
      <c r="R48" s="24">
        <v>125</v>
      </c>
      <c r="S48" s="36">
        <v>125</v>
      </c>
      <c r="T48" s="36">
        <v>250</v>
      </c>
      <c r="U48" s="36">
        <v>125</v>
      </c>
      <c r="V48" s="22">
        <v>375</v>
      </c>
      <c r="W48" s="36">
        <v>125</v>
      </c>
      <c r="X48" s="23">
        <v>500</v>
      </c>
      <c r="Y48" s="30"/>
      <c r="Z48" s="5">
        <v>125</v>
      </c>
      <c r="AA48" s="36">
        <v>125</v>
      </c>
      <c r="AB48" s="6">
        <v>250</v>
      </c>
      <c r="AC48" s="36">
        <v>125</v>
      </c>
      <c r="AD48" s="22">
        <v>375</v>
      </c>
      <c r="AE48" s="36">
        <v>125</v>
      </c>
      <c r="AF48" s="23">
        <v>500</v>
      </c>
      <c r="AG48" s="30"/>
      <c r="AH48" s="24">
        <v>0</v>
      </c>
      <c r="AI48" s="36">
        <v>0</v>
      </c>
      <c r="AJ48" s="22">
        <v>0</v>
      </c>
      <c r="AK48" s="36">
        <v>51</v>
      </c>
      <c r="AL48" s="22">
        <v>51</v>
      </c>
      <c r="AM48" s="36">
        <v>124</v>
      </c>
      <c r="AN48" s="23">
        <v>175</v>
      </c>
    </row>
    <row r="49" spans="1:40" ht="17.25" outlineLevel="1" x14ac:dyDescent="0.4">
      <c r="A49" s="5" t="s">
        <v>130</v>
      </c>
      <c r="B49" s="31">
        <v>0</v>
      </c>
      <c r="C49" s="32">
        <v>0</v>
      </c>
      <c r="D49" s="32">
        <v>0</v>
      </c>
      <c r="E49" s="32">
        <v>0</v>
      </c>
      <c r="F49" s="32">
        <v>0</v>
      </c>
      <c r="G49" s="32">
        <v>0</v>
      </c>
      <c r="H49" s="33">
        <v>0</v>
      </c>
      <c r="I49" s="6"/>
      <c r="J49" s="31">
        <v>0</v>
      </c>
      <c r="K49" s="32">
        <v>0</v>
      </c>
      <c r="L49" s="32">
        <v>0</v>
      </c>
      <c r="M49" s="32">
        <v>0</v>
      </c>
      <c r="N49" s="32">
        <v>0</v>
      </c>
      <c r="O49" s="32">
        <v>0</v>
      </c>
      <c r="P49" s="33">
        <v>0</v>
      </c>
      <c r="Q49" s="30"/>
      <c r="R49" s="31">
        <v>0</v>
      </c>
      <c r="S49" s="32">
        <v>0</v>
      </c>
      <c r="T49" s="32">
        <v>0</v>
      </c>
      <c r="U49" s="32">
        <v>0</v>
      </c>
      <c r="V49" s="32">
        <v>0</v>
      </c>
      <c r="W49" s="32">
        <v>0</v>
      </c>
      <c r="X49" s="33">
        <v>0</v>
      </c>
      <c r="Y49" s="30"/>
      <c r="Z49" s="31">
        <v>0</v>
      </c>
      <c r="AA49" s="32">
        <v>0</v>
      </c>
      <c r="AB49" s="32">
        <v>0</v>
      </c>
      <c r="AC49" s="32">
        <v>0</v>
      </c>
      <c r="AD49" s="32">
        <v>0</v>
      </c>
      <c r="AE49" s="32">
        <v>0</v>
      </c>
      <c r="AF49" s="33">
        <v>0</v>
      </c>
      <c r="AG49" s="30"/>
      <c r="AH49" s="31">
        <v>0</v>
      </c>
      <c r="AI49" s="32">
        <v>0</v>
      </c>
      <c r="AJ49" s="32">
        <v>0</v>
      </c>
      <c r="AK49" s="32">
        <v>0</v>
      </c>
      <c r="AL49" s="32">
        <v>0</v>
      </c>
      <c r="AM49" s="32">
        <v>0</v>
      </c>
      <c r="AN49" s="33">
        <v>0</v>
      </c>
    </row>
    <row r="50" spans="1:40" s="14" customFormat="1" x14ac:dyDescent="0.25">
      <c r="A50" s="16" t="s">
        <v>65</v>
      </c>
      <c r="B50" s="25">
        <v>7492</v>
      </c>
      <c r="C50" s="39">
        <v>11801</v>
      </c>
      <c r="D50" s="39">
        <v>19293</v>
      </c>
      <c r="E50" s="22">
        <v>0</v>
      </c>
      <c r="F50" s="22">
        <v>0</v>
      </c>
      <c r="G50" s="22">
        <v>0</v>
      </c>
      <c r="H50" s="23">
        <v>0</v>
      </c>
      <c r="I50" s="12"/>
      <c r="J50" s="25">
        <v>9624</v>
      </c>
      <c r="K50" s="39">
        <v>9680</v>
      </c>
      <c r="L50" s="39">
        <v>19304</v>
      </c>
      <c r="M50" s="39">
        <v>7126</v>
      </c>
      <c r="N50" s="39">
        <v>26430</v>
      </c>
      <c r="O50" s="39">
        <v>6670</v>
      </c>
      <c r="P50" s="40">
        <v>33100</v>
      </c>
      <c r="Q50" s="26"/>
      <c r="R50" s="25">
        <v>12822</v>
      </c>
      <c r="S50" s="39">
        <v>7327</v>
      </c>
      <c r="T50" s="39">
        <v>20149</v>
      </c>
      <c r="U50" s="39">
        <v>7014</v>
      </c>
      <c r="V50" s="39">
        <v>27163</v>
      </c>
      <c r="W50" s="39">
        <v>5175</v>
      </c>
      <c r="X50" s="40">
        <v>32338</v>
      </c>
      <c r="Y50" s="26"/>
      <c r="Z50" s="25">
        <v>10571</v>
      </c>
      <c r="AA50" s="39">
        <v>12687</v>
      </c>
      <c r="AB50" s="39">
        <v>23258</v>
      </c>
      <c r="AC50" s="39">
        <v>8815</v>
      </c>
      <c r="AD50" s="39">
        <v>32073</v>
      </c>
      <c r="AE50" s="39">
        <v>7951</v>
      </c>
      <c r="AF50" s="40">
        <v>40024</v>
      </c>
      <c r="AG50" s="26"/>
      <c r="AH50" s="25">
        <v>0</v>
      </c>
      <c r="AI50" s="39">
        <v>0</v>
      </c>
      <c r="AJ50" s="39">
        <v>0</v>
      </c>
      <c r="AK50" s="39">
        <v>3013</v>
      </c>
      <c r="AL50" s="39">
        <v>3013</v>
      </c>
      <c r="AM50" s="39">
        <v>5147</v>
      </c>
      <c r="AN50" s="40">
        <v>8160</v>
      </c>
    </row>
    <row r="51" spans="1:40" x14ac:dyDescent="0.25">
      <c r="A51" s="5"/>
      <c r="B51" s="5"/>
      <c r="C51" s="6"/>
      <c r="D51" s="6"/>
      <c r="E51" s="6"/>
      <c r="F51" s="6"/>
      <c r="G51" s="6"/>
      <c r="H51" s="7"/>
      <c r="I51" s="6"/>
      <c r="J51" s="24"/>
      <c r="K51" s="6"/>
      <c r="L51" s="6"/>
      <c r="M51" s="6"/>
      <c r="N51" s="6"/>
      <c r="O51" s="6"/>
      <c r="P51" s="7"/>
      <c r="Q51" s="6"/>
      <c r="R51" s="24"/>
      <c r="S51" s="6"/>
      <c r="T51" s="6"/>
      <c r="U51" s="6"/>
      <c r="V51" s="6"/>
      <c r="W51" s="6"/>
      <c r="X51" s="7"/>
      <c r="Y51" s="6"/>
      <c r="Z51" s="5"/>
      <c r="AA51" s="6"/>
      <c r="AB51" s="6"/>
      <c r="AC51" s="6"/>
      <c r="AD51" s="6"/>
      <c r="AE51" s="6"/>
      <c r="AF51" s="7"/>
      <c r="AG51" s="6"/>
      <c r="AH51" s="5"/>
      <c r="AI51" s="6"/>
      <c r="AJ51" s="6"/>
      <c r="AK51" s="6"/>
      <c r="AL51" s="6"/>
      <c r="AM51" s="6"/>
      <c r="AN51" s="7"/>
    </row>
    <row r="52" spans="1:40" x14ac:dyDescent="0.25">
      <c r="A52" s="5"/>
      <c r="B52" s="5"/>
      <c r="C52" s="6"/>
      <c r="D52" s="6"/>
      <c r="E52" s="6"/>
      <c r="F52" s="6"/>
      <c r="G52" s="6"/>
      <c r="H52" s="7"/>
      <c r="I52" s="6"/>
      <c r="J52" s="24"/>
      <c r="K52" s="6"/>
      <c r="L52" s="6"/>
      <c r="M52" s="6"/>
      <c r="N52" s="6"/>
      <c r="O52" s="6"/>
      <c r="P52" s="7"/>
      <c r="Q52" s="6"/>
      <c r="R52" s="24"/>
      <c r="S52" s="6"/>
      <c r="T52" s="6"/>
      <c r="U52" s="6"/>
      <c r="V52" s="6"/>
      <c r="W52" s="6"/>
      <c r="X52" s="7"/>
      <c r="Y52" s="6"/>
      <c r="Z52" s="5"/>
      <c r="AA52" s="6"/>
      <c r="AB52" s="6"/>
      <c r="AC52" s="6"/>
      <c r="AD52" s="6"/>
      <c r="AE52" s="6"/>
      <c r="AF52" s="7"/>
      <c r="AG52" s="6"/>
      <c r="AH52" s="5"/>
      <c r="AI52" s="6"/>
      <c r="AJ52" s="6"/>
      <c r="AK52" s="6"/>
      <c r="AL52" s="6"/>
      <c r="AM52" s="6"/>
      <c r="AN52" s="7"/>
    </row>
    <row r="53" spans="1:40" s="14" customFormat="1" x14ac:dyDescent="0.25">
      <c r="A53" s="16" t="s">
        <v>25</v>
      </c>
      <c r="B53" s="84">
        <v>237867</v>
      </c>
      <c r="C53" s="39">
        <v>241771</v>
      </c>
      <c r="D53" s="39"/>
      <c r="E53" s="39">
        <v>0</v>
      </c>
      <c r="F53" s="39"/>
      <c r="G53" s="39">
        <v>0</v>
      </c>
      <c r="H53" s="40"/>
      <c r="I53" s="12"/>
      <c r="J53" s="84">
        <v>247079</v>
      </c>
      <c r="K53" s="39">
        <v>245891</v>
      </c>
      <c r="L53" s="39"/>
      <c r="M53" s="39">
        <v>229891</v>
      </c>
      <c r="N53" s="39"/>
      <c r="O53" s="39">
        <v>235869</v>
      </c>
      <c r="P53" s="40"/>
      <c r="Q53" s="26"/>
      <c r="R53" s="84">
        <v>258755</v>
      </c>
      <c r="S53" s="39">
        <v>251779</v>
      </c>
      <c r="T53" s="39"/>
      <c r="U53" s="39">
        <v>243797</v>
      </c>
      <c r="V53" s="39"/>
      <c r="W53" s="39">
        <v>242656</v>
      </c>
      <c r="X53" s="40"/>
      <c r="Y53" s="26"/>
      <c r="Z53" s="84">
        <v>273029</v>
      </c>
      <c r="AA53" s="39">
        <v>269352</v>
      </c>
      <c r="AB53" s="39"/>
      <c r="AC53" s="39">
        <v>262328</v>
      </c>
      <c r="AD53" s="39"/>
      <c r="AE53" s="39">
        <v>260894</v>
      </c>
      <c r="AF53" s="40"/>
      <c r="AG53" s="26"/>
      <c r="AH53" s="84">
        <v>0</v>
      </c>
      <c r="AI53" s="39">
        <v>0</v>
      </c>
      <c r="AJ53" s="39"/>
      <c r="AK53" s="39">
        <v>273290</v>
      </c>
      <c r="AL53" s="39"/>
      <c r="AM53" s="39">
        <v>263840</v>
      </c>
      <c r="AN53" s="40"/>
    </row>
    <row r="54" spans="1:40" s="14" customFormat="1" ht="7.5" customHeight="1" x14ac:dyDescent="0.25">
      <c r="A54" s="16"/>
      <c r="B54" s="84"/>
      <c r="C54" s="39"/>
      <c r="D54" s="39"/>
      <c r="E54" s="39"/>
      <c r="F54" s="39"/>
      <c r="G54" s="39"/>
      <c r="H54" s="40"/>
      <c r="I54" s="12"/>
      <c r="J54" s="84"/>
      <c r="K54" s="39"/>
      <c r="L54" s="39"/>
      <c r="M54" s="12"/>
      <c r="N54" s="39"/>
      <c r="O54" s="39"/>
      <c r="P54" s="40"/>
      <c r="Q54" s="30"/>
      <c r="R54" s="84"/>
      <c r="S54" s="39"/>
      <c r="T54" s="39"/>
      <c r="U54" s="39"/>
      <c r="V54" s="39"/>
      <c r="W54" s="39"/>
      <c r="X54" s="40"/>
      <c r="Y54" s="30"/>
      <c r="Z54" s="84"/>
      <c r="AA54" s="39"/>
      <c r="AB54" s="39"/>
      <c r="AC54" s="39"/>
      <c r="AD54" s="39"/>
      <c r="AE54" s="39"/>
      <c r="AF54" s="40"/>
      <c r="AG54" s="30"/>
      <c r="AH54" s="84"/>
      <c r="AI54" s="39"/>
      <c r="AJ54" s="39"/>
      <c r="AK54" s="39"/>
      <c r="AL54" s="39"/>
      <c r="AM54" s="39"/>
      <c r="AN54" s="40"/>
    </row>
    <row r="55" spans="1:40" outlineLevel="1" x14ac:dyDescent="0.25">
      <c r="A55" s="5" t="s">
        <v>131</v>
      </c>
      <c r="B55" s="85">
        <v>100515</v>
      </c>
      <c r="C55" s="38">
        <v>100045</v>
      </c>
      <c r="D55" s="38"/>
      <c r="E55" s="39">
        <v>0</v>
      </c>
      <c r="F55" s="39"/>
      <c r="G55" s="39">
        <v>0</v>
      </c>
      <c r="H55" s="86"/>
      <c r="I55" s="6"/>
      <c r="J55" s="27">
        <v>116421</v>
      </c>
      <c r="K55" s="38">
        <v>115157</v>
      </c>
      <c r="L55" s="28"/>
      <c r="M55" s="36">
        <v>99305</v>
      </c>
      <c r="N55" s="28"/>
      <c r="O55" s="38">
        <v>100991</v>
      </c>
      <c r="P55" s="29"/>
      <c r="Q55" s="30"/>
      <c r="R55" s="85">
        <v>129157</v>
      </c>
      <c r="S55" s="38">
        <v>125902</v>
      </c>
      <c r="T55" s="38"/>
      <c r="U55" s="36">
        <v>115862</v>
      </c>
      <c r="V55" s="38"/>
      <c r="W55" s="38">
        <v>116048</v>
      </c>
      <c r="X55" s="86"/>
      <c r="Y55" s="30"/>
      <c r="Z55" s="85">
        <v>158498</v>
      </c>
      <c r="AA55" s="38">
        <v>150765</v>
      </c>
      <c r="AB55" s="38"/>
      <c r="AC55" s="38">
        <v>139441</v>
      </c>
      <c r="AD55" s="38"/>
      <c r="AE55" s="38">
        <v>138542</v>
      </c>
      <c r="AF55" s="86"/>
      <c r="AG55" s="30"/>
      <c r="AH55" s="84">
        <v>0</v>
      </c>
      <c r="AI55" s="39">
        <v>0</v>
      </c>
      <c r="AJ55" s="38"/>
      <c r="AK55" s="38">
        <v>140595</v>
      </c>
      <c r="AL55" s="38"/>
      <c r="AM55" s="38">
        <v>137327</v>
      </c>
      <c r="AN55" s="86"/>
    </row>
    <row r="56" spans="1:40" outlineLevel="1" x14ac:dyDescent="0.25">
      <c r="A56" s="5" t="s">
        <v>28</v>
      </c>
      <c r="B56" s="85">
        <v>23775</v>
      </c>
      <c r="C56" s="38">
        <v>23993</v>
      </c>
      <c r="D56" s="38"/>
      <c r="E56" s="39">
        <v>0</v>
      </c>
      <c r="F56" s="39"/>
      <c r="G56" s="39">
        <v>0</v>
      </c>
      <c r="H56" s="86"/>
      <c r="I56" s="6"/>
      <c r="J56" s="27">
        <v>22340</v>
      </c>
      <c r="K56" s="38">
        <v>20529</v>
      </c>
      <c r="L56" s="28"/>
      <c r="M56" s="36">
        <v>19716</v>
      </c>
      <c r="N56" s="28"/>
      <c r="O56" s="38">
        <v>22928</v>
      </c>
      <c r="P56" s="29"/>
      <c r="Q56" s="30"/>
      <c r="R56" s="85">
        <v>24922</v>
      </c>
      <c r="S56" s="38">
        <v>20647</v>
      </c>
      <c r="T56" s="38"/>
      <c r="U56" s="36">
        <v>21096</v>
      </c>
      <c r="V56" s="38"/>
      <c r="W56" s="38">
        <v>20217</v>
      </c>
      <c r="X56" s="86"/>
      <c r="Y56" s="30"/>
      <c r="Z56" s="85">
        <v>18627</v>
      </c>
      <c r="AA56" s="38">
        <v>19362</v>
      </c>
      <c r="AB56" s="38"/>
      <c r="AC56" s="38">
        <v>22355</v>
      </c>
      <c r="AD56" s="38"/>
      <c r="AE56" s="38">
        <v>20916</v>
      </c>
      <c r="AF56" s="86"/>
      <c r="AG56" s="30"/>
      <c r="AH56" s="84">
        <v>0</v>
      </c>
      <c r="AI56" s="39">
        <v>0</v>
      </c>
      <c r="AJ56" s="38"/>
      <c r="AK56" s="38">
        <v>16025</v>
      </c>
      <c r="AL56" s="38"/>
      <c r="AM56" s="38">
        <v>13568</v>
      </c>
      <c r="AN56" s="86"/>
    </row>
    <row r="57" spans="1:40" s="14" customFormat="1" x14ac:dyDescent="0.25">
      <c r="A57" s="16" t="s">
        <v>29</v>
      </c>
      <c r="B57" s="84">
        <v>124290</v>
      </c>
      <c r="C57" s="39">
        <v>124038</v>
      </c>
      <c r="D57" s="39"/>
      <c r="E57" s="39">
        <v>0</v>
      </c>
      <c r="F57" s="39"/>
      <c r="G57" s="39">
        <v>0</v>
      </c>
      <c r="H57" s="40"/>
      <c r="I57" s="12"/>
      <c r="J57" s="25">
        <v>138761</v>
      </c>
      <c r="K57" s="39">
        <v>135686</v>
      </c>
      <c r="L57" s="20"/>
      <c r="M57" s="39">
        <v>119021</v>
      </c>
      <c r="N57" s="20"/>
      <c r="O57" s="39">
        <v>123919</v>
      </c>
      <c r="P57" s="21"/>
      <c r="Q57" s="26"/>
      <c r="R57" s="84">
        <v>154079</v>
      </c>
      <c r="S57" s="39">
        <v>146549</v>
      </c>
      <c r="T57" s="39"/>
      <c r="U57" s="39">
        <v>136958</v>
      </c>
      <c r="V57" s="39"/>
      <c r="W57" s="39">
        <v>136265</v>
      </c>
      <c r="X57" s="40"/>
      <c r="Y57" s="26"/>
      <c r="Z57" s="84">
        <v>177125</v>
      </c>
      <c r="AA57" s="39">
        <v>170127</v>
      </c>
      <c r="AB57" s="39"/>
      <c r="AC57" s="39">
        <v>161796</v>
      </c>
      <c r="AD57" s="39"/>
      <c r="AE57" s="39">
        <v>159458</v>
      </c>
      <c r="AF57" s="40"/>
      <c r="AG57" s="26"/>
      <c r="AH57" s="84">
        <v>0</v>
      </c>
      <c r="AI57" s="39">
        <v>0</v>
      </c>
      <c r="AJ57" s="39"/>
      <c r="AK57" s="39">
        <v>156620</v>
      </c>
      <c r="AL57" s="39"/>
      <c r="AM57" s="39">
        <v>150895</v>
      </c>
      <c r="AN57" s="40"/>
    </row>
    <row r="58" spans="1:40" s="14" customFormat="1" ht="7.5" customHeight="1" x14ac:dyDescent="0.25">
      <c r="A58" s="16"/>
      <c r="B58" s="84"/>
      <c r="C58" s="39"/>
      <c r="D58" s="39"/>
      <c r="E58" s="39"/>
      <c r="F58" s="39"/>
      <c r="G58" s="39"/>
      <c r="H58" s="40"/>
      <c r="I58" s="12"/>
      <c r="J58" s="25"/>
      <c r="K58" s="39"/>
      <c r="L58" s="20"/>
      <c r="M58" s="39"/>
      <c r="N58" s="20"/>
      <c r="O58" s="39"/>
      <c r="P58" s="21"/>
      <c r="Q58" s="30"/>
      <c r="R58" s="84"/>
      <c r="S58" s="39"/>
      <c r="T58" s="39"/>
      <c r="U58" s="39"/>
      <c r="V58" s="39"/>
      <c r="W58" s="39"/>
      <c r="X58" s="40"/>
      <c r="Y58" s="30"/>
      <c r="Z58" s="84"/>
      <c r="AA58" s="39"/>
      <c r="AB58" s="39"/>
      <c r="AC58" s="39"/>
      <c r="AD58" s="39"/>
      <c r="AE58" s="39"/>
      <c r="AF58" s="40"/>
      <c r="AG58" s="30"/>
      <c r="AH58" s="84"/>
      <c r="AI58" s="39"/>
      <c r="AJ58" s="39"/>
      <c r="AK58" s="39"/>
      <c r="AL58" s="39"/>
      <c r="AM58" s="39"/>
      <c r="AN58" s="40"/>
    </row>
    <row r="59" spans="1:40" s="14" customFormat="1" x14ac:dyDescent="0.25">
      <c r="A59" s="16" t="s">
        <v>36</v>
      </c>
      <c r="B59" s="84">
        <v>113577</v>
      </c>
      <c r="C59" s="39">
        <v>117733</v>
      </c>
      <c r="D59" s="39"/>
      <c r="E59" s="39">
        <v>0</v>
      </c>
      <c r="F59" s="39"/>
      <c r="G59" s="39">
        <v>0</v>
      </c>
      <c r="H59" s="40"/>
      <c r="I59" s="12"/>
      <c r="J59" s="25">
        <v>108318</v>
      </c>
      <c r="K59" s="39">
        <v>110205</v>
      </c>
      <c r="L59" s="20"/>
      <c r="M59" s="39">
        <v>110870</v>
      </c>
      <c r="N59" s="20"/>
      <c r="O59" s="39">
        <v>111950</v>
      </c>
      <c r="P59" s="21"/>
      <c r="Q59" s="26"/>
      <c r="R59" s="25">
        <v>104676</v>
      </c>
      <c r="S59" s="20">
        <v>105230</v>
      </c>
      <c r="T59" s="20"/>
      <c r="U59" s="39">
        <v>106839</v>
      </c>
      <c r="V59" s="20"/>
      <c r="W59" s="39">
        <v>106391</v>
      </c>
      <c r="X59" s="21"/>
      <c r="Y59" s="26"/>
      <c r="Z59" s="25">
        <v>95904</v>
      </c>
      <c r="AA59" s="20">
        <v>99225</v>
      </c>
      <c r="AB59" s="20"/>
      <c r="AC59" s="39">
        <v>100532</v>
      </c>
      <c r="AD59" s="20"/>
      <c r="AE59" s="39">
        <v>101436</v>
      </c>
      <c r="AF59" s="21"/>
      <c r="AG59" s="26"/>
      <c r="AH59" s="84">
        <v>0</v>
      </c>
      <c r="AI59" s="39">
        <v>0</v>
      </c>
      <c r="AJ59" s="20"/>
      <c r="AK59" s="39">
        <v>116670</v>
      </c>
      <c r="AL59" s="20"/>
      <c r="AM59" s="39">
        <v>112945</v>
      </c>
      <c r="AN59" s="21"/>
    </row>
    <row r="60" spans="1:40" ht="7.5" customHeight="1" x14ac:dyDescent="0.25">
      <c r="A60" s="5"/>
      <c r="B60" s="83"/>
      <c r="C60" s="36"/>
      <c r="D60" s="36"/>
      <c r="E60" s="36"/>
      <c r="F60" s="36"/>
      <c r="G60" s="36"/>
      <c r="H60" s="37"/>
      <c r="I60" s="6"/>
      <c r="J60" s="24"/>
      <c r="K60" s="36"/>
      <c r="L60" s="36"/>
      <c r="M60" s="36"/>
      <c r="N60" s="36"/>
      <c r="O60" s="36"/>
      <c r="P60" s="37"/>
      <c r="Q60" s="6"/>
      <c r="R60" s="24"/>
      <c r="S60" s="22"/>
      <c r="T60" s="36"/>
      <c r="U60" s="36"/>
      <c r="V60" s="36"/>
      <c r="W60" s="36"/>
      <c r="X60" s="37"/>
      <c r="Y60" s="6"/>
      <c r="Z60" s="5"/>
      <c r="AA60" s="6"/>
      <c r="AB60" s="6"/>
      <c r="AC60" s="6"/>
      <c r="AD60" s="6"/>
      <c r="AE60" s="6"/>
      <c r="AF60" s="7"/>
      <c r="AG60" s="6"/>
      <c r="AH60" s="5"/>
      <c r="AI60" s="6"/>
      <c r="AJ60" s="6"/>
      <c r="AK60" s="6"/>
      <c r="AL60" s="6"/>
      <c r="AM60" s="6"/>
      <c r="AN60" s="7"/>
    </row>
    <row r="61" spans="1:40" s="14" customFormat="1" x14ac:dyDescent="0.25">
      <c r="A61" s="16" t="s">
        <v>66</v>
      </c>
      <c r="B61" s="25">
        <v>569</v>
      </c>
      <c r="C61" s="20">
        <v>953</v>
      </c>
      <c r="D61" s="39"/>
      <c r="E61" s="39">
        <v>1295</v>
      </c>
      <c r="F61" s="39"/>
      <c r="G61" s="39">
        <v>0</v>
      </c>
      <c r="H61" s="40"/>
      <c r="I61" s="12"/>
      <c r="J61" s="25">
        <v>223</v>
      </c>
      <c r="K61" s="39">
        <v>1418</v>
      </c>
      <c r="L61" s="39"/>
      <c r="M61" s="39">
        <v>1976</v>
      </c>
      <c r="N61" s="39"/>
      <c r="O61" s="39">
        <v>2492</v>
      </c>
      <c r="P61" s="40"/>
      <c r="Q61" s="30"/>
      <c r="R61" s="25">
        <v>212</v>
      </c>
      <c r="S61" s="20">
        <v>543</v>
      </c>
      <c r="T61" s="39"/>
      <c r="U61" s="20">
        <v>709</v>
      </c>
      <c r="V61" s="39"/>
      <c r="W61" s="39">
        <v>815</v>
      </c>
      <c r="X61" s="40"/>
      <c r="Y61" s="30"/>
      <c r="Z61" s="25">
        <v>271</v>
      </c>
      <c r="AA61" s="20">
        <v>465</v>
      </c>
      <c r="AB61" s="39"/>
      <c r="AC61" s="39">
        <v>654</v>
      </c>
      <c r="AD61" s="39"/>
      <c r="AE61" s="39">
        <v>1364</v>
      </c>
      <c r="AF61" s="40"/>
      <c r="AG61" s="30"/>
      <c r="AH61" s="84">
        <v>0</v>
      </c>
      <c r="AI61" s="39">
        <v>0</v>
      </c>
      <c r="AJ61" s="20"/>
      <c r="AK61" s="39">
        <v>418</v>
      </c>
      <c r="AL61" s="39"/>
      <c r="AM61" s="39">
        <v>556</v>
      </c>
      <c r="AN61" s="40"/>
    </row>
    <row r="62" spans="1:40" s="14" customFormat="1" ht="7.5" customHeight="1" x14ac:dyDescent="0.25">
      <c r="A62" s="16"/>
      <c r="B62" s="25"/>
      <c r="C62" s="20"/>
      <c r="D62" s="39"/>
      <c r="E62" s="39"/>
      <c r="F62" s="39"/>
      <c r="G62" s="39"/>
      <c r="H62" s="40"/>
      <c r="I62" s="12"/>
      <c r="J62" s="25"/>
      <c r="K62" s="39"/>
      <c r="L62" s="39"/>
      <c r="M62" s="12"/>
      <c r="N62" s="39"/>
      <c r="O62" s="39"/>
      <c r="P62" s="40"/>
      <c r="Q62" s="30"/>
      <c r="R62" s="25"/>
      <c r="S62" s="20"/>
      <c r="T62" s="39"/>
      <c r="U62" s="22"/>
      <c r="V62" s="39"/>
      <c r="W62" s="39"/>
      <c r="X62" s="40"/>
      <c r="Y62" s="30"/>
      <c r="Z62" s="25"/>
      <c r="AA62" s="20"/>
      <c r="AB62" s="39"/>
      <c r="AC62" s="39"/>
      <c r="AD62" s="39"/>
      <c r="AE62" s="39"/>
      <c r="AF62" s="40"/>
      <c r="AG62" s="30"/>
      <c r="AH62" s="25"/>
      <c r="AI62" s="20"/>
      <c r="AJ62" s="20"/>
      <c r="AK62" s="39"/>
      <c r="AL62" s="39"/>
      <c r="AM62" s="39"/>
      <c r="AN62" s="40"/>
    </row>
    <row r="63" spans="1:40" s="14" customFormat="1" x14ac:dyDescent="0.25">
      <c r="A63" s="43" t="s">
        <v>67</v>
      </c>
      <c r="B63" s="16"/>
      <c r="C63" s="20"/>
      <c r="D63" s="39"/>
      <c r="E63" s="39"/>
      <c r="F63" s="39"/>
      <c r="G63" s="39"/>
      <c r="H63" s="40"/>
      <c r="I63" s="12"/>
      <c r="J63" s="25"/>
      <c r="K63" s="12"/>
      <c r="L63" s="39"/>
      <c r="M63" s="12"/>
      <c r="N63" s="39"/>
      <c r="O63" s="12"/>
      <c r="P63" s="40"/>
      <c r="Q63" s="30"/>
      <c r="R63" s="25"/>
      <c r="S63" s="12"/>
      <c r="T63" s="39"/>
      <c r="U63" s="12"/>
      <c r="V63" s="39"/>
      <c r="W63" s="39"/>
      <c r="X63" s="40"/>
      <c r="Y63" s="30"/>
      <c r="Z63" s="25"/>
      <c r="AA63" s="20"/>
      <c r="AB63" s="39"/>
      <c r="AC63" s="12"/>
      <c r="AD63" s="39"/>
      <c r="AE63" s="12"/>
      <c r="AF63" s="40"/>
      <c r="AG63" s="30"/>
      <c r="AH63" s="25"/>
      <c r="AI63" s="20"/>
      <c r="AJ63" s="20"/>
      <c r="AK63" s="39"/>
      <c r="AL63" s="39"/>
      <c r="AM63" s="39"/>
      <c r="AN63" s="40"/>
    </row>
    <row r="64" spans="1:40" s="14" customFormat="1" x14ac:dyDescent="0.25">
      <c r="A64" s="16" t="s">
        <v>68</v>
      </c>
      <c r="B64" s="69"/>
      <c r="C64" s="45"/>
      <c r="D64" s="45"/>
      <c r="E64" s="45"/>
      <c r="F64" s="45"/>
      <c r="G64" s="45"/>
      <c r="H64" s="68"/>
      <c r="I64" s="12"/>
      <c r="J64" s="69"/>
      <c r="K64" s="39"/>
      <c r="L64" s="45"/>
      <c r="M64" s="12"/>
      <c r="N64" s="45"/>
      <c r="O64" s="220">
        <v>0.89900000000000002</v>
      </c>
      <c r="P64" s="70"/>
      <c r="Q64" s="30"/>
      <c r="R64" s="69"/>
      <c r="S64" s="45"/>
      <c r="T64" s="45"/>
      <c r="U64" s="39"/>
      <c r="V64" s="45"/>
      <c r="W64" s="220">
        <v>0.89900000000000002</v>
      </c>
      <c r="X64" s="68"/>
      <c r="Y64" s="30"/>
      <c r="Z64" s="69"/>
      <c r="AA64" s="45"/>
      <c r="AB64" s="45"/>
      <c r="AC64" s="39"/>
      <c r="AD64" s="45"/>
      <c r="AE64" s="220">
        <v>0.89900000000000002</v>
      </c>
      <c r="AF64" s="68"/>
      <c r="AG64" s="30"/>
      <c r="AH64" s="25"/>
      <c r="AI64" s="20"/>
      <c r="AJ64" s="20"/>
      <c r="AK64" s="39"/>
      <c r="AL64" s="45"/>
      <c r="AM64" s="220">
        <v>0.89900000000000002</v>
      </c>
      <c r="AN64" s="68"/>
    </row>
    <row r="65" spans="1:40" s="14" customFormat="1" ht="15.75" thickBot="1" x14ac:dyDescent="0.3">
      <c r="A65" s="49" t="s">
        <v>69</v>
      </c>
      <c r="B65" s="72"/>
      <c r="C65" s="52"/>
      <c r="D65" s="52"/>
      <c r="E65" s="58"/>
      <c r="F65" s="52"/>
      <c r="G65" s="58"/>
      <c r="H65" s="71"/>
      <c r="I65" s="54"/>
      <c r="J65" s="72"/>
      <c r="K65" s="55"/>
      <c r="L65" s="52"/>
      <c r="M65" s="54"/>
      <c r="N65" s="52"/>
      <c r="O65" s="221">
        <v>0.79700000000000004</v>
      </c>
      <c r="P65" s="73"/>
      <c r="Q65" s="60"/>
      <c r="R65" s="72"/>
      <c r="S65" s="52"/>
      <c r="T65" s="52"/>
      <c r="U65" s="55"/>
      <c r="V65" s="52"/>
      <c r="W65" s="221">
        <v>0.79700000000000004</v>
      </c>
      <c r="X65" s="71"/>
      <c r="Y65" s="60"/>
      <c r="Z65" s="72"/>
      <c r="AA65" s="52"/>
      <c r="AB65" s="52"/>
      <c r="AC65" s="55"/>
      <c r="AD65" s="52"/>
      <c r="AE65" s="221">
        <v>0.79700000000000004</v>
      </c>
      <c r="AF65" s="71"/>
      <c r="AG65" s="60"/>
      <c r="AH65" s="50"/>
      <c r="AI65" s="51"/>
      <c r="AJ65" s="51"/>
      <c r="AK65" s="55"/>
      <c r="AL65" s="52"/>
      <c r="AM65" s="221">
        <v>0.76700000000000002</v>
      </c>
      <c r="AN65" s="71"/>
    </row>
  </sheetData>
  <pageMargins left="0.7" right="0.7" top="0.75" bottom="0.75" header="0.3" footer="0.3"/>
  <pageSetup scale="27"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tint="0.59999389629810485"/>
  </sheetPr>
  <dimension ref="A1:BT79"/>
  <sheetViews>
    <sheetView workbookViewId="0"/>
  </sheetViews>
  <sheetFormatPr defaultColWidth="9.140625" defaultRowHeight="15" outlineLevelRow="1" outlineLevelCol="1" x14ac:dyDescent="0.25"/>
  <cols>
    <col min="1" max="1" width="44.140625" style="95" customWidth="1"/>
    <col min="2" max="3" width="9" style="95" customWidth="1"/>
    <col min="4" max="4" width="8" style="95" customWidth="1" outlineLevel="1"/>
    <col min="5" max="5" width="11.5703125" style="95" customWidth="1"/>
    <col min="6" max="6" width="11.5703125" style="95" customWidth="1" outlineLevel="1"/>
    <col min="7" max="7" width="12.28515625" style="95" customWidth="1"/>
    <col min="8" max="8" width="9" style="95" customWidth="1"/>
    <col min="9" max="9" width="3" style="95" customWidth="1"/>
    <col min="10" max="11" width="9" style="144" customWidth="1"/>
    <col min="12" max="12" width="8" style="95" customWidth="1" outlineLevel="1"/>
    <col min="13" max="13" width="9" style="95" customWidth="1"/>
    <col min="14" max="14" width="9" style="95" customWidth="1" outlineLevel="1"/>
    <col min="15" max="16" width="9" style="95" customWidth="1"/>
    <col min="17" max="17" width="3" style="95" customWidth="1"/>
    <col min="18" max="19" width="9" style="144" customWidth="1"/>
    <col min="20" max="20" width="8" style="95" customWidth="1" outlineLevel="1"/>
    <col min="21" max="21" width="9" style="95" customWidth="1"/>
    <col min="22" max="22" width="9" style="95" customWidth="1" outlineLevel="1"/>
    <col min="23" max="24" width="9" style="95" customWidth="1"/>
    <col min="25" max="25" width="3" style="95" customWidth="1"/>
    <col min="26" max="27" width="9" style="95" customWidth="1"/>
    <col min="28" max="28" width="8" style="95" customWidth="1" outlineLevel="1"/>
    <col min="29" max="29" width="9" style="95" customWidth="1"/>
    <col min="30" max="30" width="9" style="95" customWidth="1" outlineLevel="1"/>
    <col min="31" max="32" width="9" style="95" customWidth="1"/>
    <col min="33" max="33" width="3" style="95" customWidth="1"/>
    <col min="34" max="35" width="9" style="95" customWidth="1"/>
    <col min="36" max="36" width="8" style="95" customWidth="1" outlineLevel="1"/>
    <col min="37" max="37" width="9" style="95" customWidth="1"/>
    <col min="38" max="38" width="8.5703125" style="95" customWidth="1" outlineLevel="1"/>
    <col min="39" max="40" width="9" style="95" customWidth="1"/>
    <col min="41" max="41" width="3" style="95" customWidth="1"/>
    <col min="42" max="43" width="9" style="95" customWidth="1"/>
    <col min="44" max="44" width="8" style="95" customWidth="1" outlineLevel="1"/>
    <col min="45" max="45" width="9" style="95" customWidth="1"/>
    <col min="46" max="46" width="9" style="95" customWidth="1" outlineLevel="1"/>
    <col min="47" max="48" width="9" style="95" customWidth="1"/>
    <col min="49" max="49" width="3" style="95" customWidth="1"/>
    <col min="50" max="51" width="9" style="95" customWidth="1"/>
    <col min="52" max="52" width="8" style="95" customWidth="1" outlineLevel="1"/>
    <col min="53" max="53" width="9" style="95" customWidth="1"/>
    <col min="54" max="54" width="9" style="95" customWidth="1" outlineLevel="1"/>
    <col min="55" max="56" width="9" style="95" customWidth="1"/>
    <col min="57" max="57" width="3" style="95" customWidth="1"/>
    <col min="58" max="59" width="9" style="95" customWidth="1"/>
    <col min="60" max="60" width="8" style="95" customWidth="1" outlineLevel="1"/>
    <col min="61" max="61" width="9" style="95" customWidth="1"/>
    <col min="62" max="62" width="8" style="95" customWidth="1" outlineLevel="1"/>
    <col min="63" max="64" width="9" style="95" customWidth="1"/>
    <col min="65" max="65" width="3" style="95" customWidth="1"/>
    <col min="66" max="67" width="9" style="95" customWidth="1"/>
    <col min="68" max="68" width="9" style="95" customWidth="1" outlineLevel="1"/>
    <col min="69" max="69" width="9" style="95" customWidth="1"/>
    <col min="70" max="70" width="9" style="95" customWidth="1" outlineLevel="1"/>
    <col min="71" max="72" width="9" style="95" customWidth="1"/>
    <col min="73" max="16384" width="9.140625" style="95"/>
  </cols>
  <sheetData>
    <row r="1" spans="1:72" x14ac:dyDescent="0.25">
      <c r="A1" s="202" t="s">
        <v>121</v>
      </c>
      <c r="B1" s="79">
        <v>97</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row>
    <row r="2" spans="1:72" x14ac:dyDescent="0.25">
      <c r="A2" s="42" t="s">
        <v>42</v>
      </c>
      <c r="B2" s="206">
        <v>25.3</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row>
    <row r="3" spans="1:72" x14ac:dyDescent="0.25">
      <c r="A3" s="42" t="s">
        <v>43</v>
      </c>
      <c r="B3" s="206">
        <v>1.7</v>
      </c>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row>
    <row r="4" spans="1:72" x14ac:dyDescent="0.25">
      <c r="A4" s="42" t="s">
        <v>44</v>
      </c>
      <c r="B4" s="206">
        <v>70</v>
      </c>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row>
    <row r="5" spans="1:72" ht="15" customHeight="1" x14ac:dyDescent="0.25">
      <c r="A5" s="5"/>
      <c r="B5" s="206"/>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row>
    <row r="6" spans="1:72" x14ac:dyDescent="0.25">
      <c r="A6" s="5" t="s">
        <v>122</v>
      </c>
      <c r="B6" s="207">
        <f>SUM(B7:B8)</f>
        <v>23.5</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row>
    <row r="7" spans="1:72" x14ac:dyDescent="0.25">
      <c r="A7" s="42" t="s">
        <v>119</v>
      </c>
      <c r="B7" s="206">
        <v>23.5</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row>
    <row r="8" spans="1:72" x14ac:dyDescent="0.25">
      <c r="A8" s="5" t="s">
        <v>120</v>
      </c>
      <c r="B8" s="206">
        <v>0</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row>
    <row r="9" spans="1:72" x14ac:dyDescent="0.25">
      <c r="A9" s="5"/>
      <c r="B9" s="206"/>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row>
    <row r="10" spans="1:72" ht="15.75" thickBot="1" x14ac:dyDescent="0.3">
      <c r="A10" s="15" t="s">
        <v>123</v>
      </c>
      <c r="B10" s="208">
        <v>14.1</v>
      </c>
      <c r="C10" s="77"/>
      <c r="D10" s="77"/>
      <c r="E10" s="110"/>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row>
    <row r="11" spans="1:72" x14ac:dyDescent="0.25">
      <c r="A11" s="5"/>
      <c r="B11" s="210"/>
      <c r="C11" s="77"/>
      <c r="D11" s="77"/>
      <c r="E11" s="110"/>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row>
    <row r="12" spans="1:72" x14ac:dyDescent="0.25">
      <c r="A12" s="5"/>
      <c r="B12" s="210"/>
      <c r="C12" s="77"/>
      <c r="D12" s="77"/>
      <c r="E12" s="110"/>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row>
    <row r="13" spans="1:72" ht="15.75" thickBot="1" x14ac:dyDescent="0.3">
      <c r="A13" s="5"/>
      <c r="B13" s="211"/>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row>
    <row r="14" spans="1:72" ht="15.75" thickBot="1" x14ac:dyDescent="0.3">
      <c r="A14" s="42"/>
      <c r="B14" s="264">
        <v>2015</v>
      </c>
      <c r="C14" s="265"/>
      <c r="D14" s="265"/>
      <c r="E14" s="265"/>
      <c r="F14" s="265"/>
      <c r="G14" s="265"/>
      <c r="H14" s="266"/>
      <c r="I14" s="77"/>
      <c r="J14" s="264">
        <v>2014</v>
      </c>
      <c r="K14" s="265"/>
      <c r="L14" s="265"/>
      <c r="M14" s="265"/>
      <c r="N14" s="265"/>
      <c r="O14" s="265"/>
      <c r="P14" s="266"/>
      <c r="Q14" s="77"/>
      <c r="R14" s="264">
        <v>2013</v>
      </c>
      <c r="S14" s="265"/>
      <c r="T14" s="265"/>
      <c r="U14" s="265"/>
      <c r="V14" s="265"/>
      <c r="W14" s="265"/>
      <c r="X14" s="266"/>
      <c r="Y14" s="77"/>
      <c r="Z14" s="264">
        <v>2012</v>
      </c>
      <c r="AA14" s="265"/>
      <c r="AB14" s="265"/>
      <c r="AC14" s="265"/>
      <c r="AD14" s="265"/>
      <c r="AE14" s="265"/>
      <c r="AF14" s="266"/>
      <c r="AG14" s="77"/>
      <c r="AH14" s="264">
        <v>2011</v>
      </c>
      <c r="AI14" s="265"/>
      <c r="AJ14" s="265"/>
      <c r="AK14" s="265"/>
      <c r="AL14" s="265"/>
      <c r="AM14" s="265"/>
      <c r="AN14" s="266"/>
      <c r="AO14" s="77"/>
      <c r="AP14" s="264">
        <v>2010</v>
      </c>
      <c r="AQ14" s="265"/>
      <c r="AR14" s="265"/>
      <c r="AS14" s="265"/>
      <c r="AT14" s="265"/>
      <c r="AU14" s="265"/>
      <c r="AV14" s="266"/>
      <c r="AW14" s="77"/>
      <c r="AX14" s="264">
        <v>2009</v>
      </c>
      <c r="AY14" s="265"/>
      <c r="AZ14" s="265"/>
      <c r="BA14" s="265"/>
      <c r="BB14" s="265"/>
      <c r="BC14" s="265"/>
      <c r="BD14" s="266"/>
      <c r="BE14" s="77"/>
      <c r="BF14" s="264">
        <v>2008</v>
      </c>
      <c r="BG14" s="265"/>
      <c r="BH14" s="265"/>
      <c r="BI14" s="265"/>
      <c r="BJ14" s="265"/>
      <c r="BK14" s="265"/>
      <c r="BL14" s="266"/>
      <c r="BM14" s="77"/>
      <c r="BN14" s="264">
        <v>2007</v>
      </c>
      <c r="BO14" s="265"/>
      <c r="BP14" s="265"/>
      <c r="BQ14" s="265"/>
      <c r="BR14" s="265"/>
      <c r="BS14" s="265"/>
      <c r="BT14" s="266"/>
    </row>
    <row r="15" spans="1:72" s="158" customFormat="1" x14ac:dyDescent="0.25">
      <c r="A15" s="114"/>
      <c r="B15" s="153" t="s">
        <v>3</v>
      </c>
      <c r="C15" s="97" t="s">
        <v>4</v>
      </c>
      <c r="D15" s="97" t="s">
        <v>5</v>
      </c>
      <c r="E15" s="97" t="s">
        <v>6</v>
      </c>
      <c r="F15" s="97" t="s">
        <v>7</v>
      </c>
      <c r="G15" s="97" t="s">
        <v>8</v>
      </c>
      <c r="H15" s="99" t="s">
        <v>9</v>
      </c>
      <c r="I15" s="115"/>
      <c r="J15" s="153" t="s">
        <v>3</v>
      </c>
      <c r="K15" s="97" t="s">
        <v>4</v>
      </c>
      <c r="L15" s="97" t="s">
        <v>5</v>
      </c>
      <c r="M15" s="97" t="s">
        <v>6</v>
      </c>
      <c r="N15" s="97" t="s">
        <v>7</v>
      </c>
      <c r="O15" s="97" t="s">
        <v>8</v>
      </c>
      <c r="P15" s="99" t="s">
        <v>9</v>
      </c>
      <c r="Q15" s="115"/>
      <c r="R15" s="153" t="s">
        <v>3</v>
      </c>
      <c r="S15" s="97" t="s">
        <v>4</v>
      </c>
      <c r="T15" s="97" t="s">
        <v>5</v>
      </c>
      <c r="U15" s="97" t="s">
        <v>6</v>
      </c>
      <c r="V15" s="97" t="s">
        <v>7</v>
      </c>
      <c r="W15" s="97" t="s">
        <v>8</v>
      </c>
      <c r="X15" s="99" t="s">
        <v>9</v>
      </c>
      <c r="Y15" s="115"/>
      <c r="Z15" s="153" t="s">
        <v>3</v>
      </c>
      <c r="AA15" s="97" t="s">
        <v>4</v>
      </c>
      <c r="AB15" s="97" t="s">
        <v>5</v>
      </c>
      <c r="AC15" s="97" t="s">
        <v>6</v>
      </c>
      <c r="AD15" s="97" t="s">
        <v>7</v>
      </c>
      <c r="AE15" s="97" t="s">
        <v>8</v>
      </c>
      <c r="AF15" s="99" t="s">
        <v>9</v>
      </c>
      <c r="AG15" s="115"/>
      <c r="AH15" s="153" t="s">
        <v>3</v>
      </c>
      <c r="AI15" s="97" t="s">
        <v>4</v>
      </c>
      <c r="AJ15" s="97" t="s">
        <v>5</v>
      </c>
      <c r="AK15" s="97" t="s">
        <v>6</v>
      </c>
      <c r="AL15" s="97" t="s">
        <v>7</v>
      </c>
      <c r="AM15" s="97" t="s">
        <v>8</v>
      </c>
      <c r="AN15" s="99" t="s">
        <v>9</v>
      </c>
      <c r="AO15" s="115"/>
      <c r="AP15" s="153" t="s">
        <v>3</v>
      </c>
      <c r="AQ15" s="97" t="s">
        <v>4</v>
      </c>
      <c r="AR15" s="97" t="s">
        <v>5</v>
      </c>
      <c r="AS15" s="97" t="s">
        <v>6</v>
      </c>
      <c r="AT15" s="97" t="s">
        <v>7</v>
      </c>
      <c r="AU15" s="97" t="s">
        <v>8</v>
      </c>
      <c r="AV15" s="99" t="s">
        <v>9</v>
      </c>
      <c r="AW15" s="115"/>
      <c r="AX15" s="153" t="s">
        <v>3</v>
      </c>
      <c r="AY15" s="97" t="s">
        <v>4</v>
      </c>
      <c r="AZ15" s="97" t="s">
        <v>5</v>
      </c>
      <c r="BA15" s="97" t="s">
        <v>6</v>
      </c>
      <c r="BB15" s="97" t="s">
        <v>7</v>
      </c>
      <c r="BC15" s="97" t="s">
        <v>8</v>
      </c>
      <c r="BD15" s="99" t="s">
        <v>9</v>
      </c>
      <c r="BE15" s="115"/>
      <c r="BF15" s="153" t="s">
        <v>3</v>
      </c>
      <c r="BG15" s="97" t="s">
        <v>4</v>
      </c>
      <c r="BH15" s="97" t="s">
        <v>5</v>
      </c>
      <c r="BI15" s="97" t="s">
        <v>6</v>
      </c>
      <c r="BJ15" s="97" t="s">
        <v>7</v>
      </c>
      <c r="BK15" s="97" t="s">
        <v>8</v>
      </c>
      <c r="BL15" s="99" t="s">
        <v>9</v>
      </c>
      <c r="BM15" s="115"/>
      <c r="BN15" s="153" t="s">
        <v>3</v>
      </c>
      <c r="BO15" s="97" t="s">
        <v>4</v>
      </c>
      <c r="BP15" s="97" t="s">
        <v>5</v>
      </c>
      <c r="BQ15" s="97" t="s">
        <v>6</v>
      </c>
      <c r="BR15" s="97" t="s">
        <v>7</v>
      </c>
      <c r="BS15" s="97" t="s">
        <v>8</v>
      </c>
      <c r="BT15" s="99" t="s">
        <v>9</v>
      </c>
    </row>
    <row r="16" spans="1:72" x14ac:dyDescent="0.25">
      <c r="A16" s="42"/>
      <c r="B16" s="107"/>
      <c r="C16" s="105"/>
      <c r="D16" s="105"/>
      <c r="E16" s="105"/>
      <c r="F16" s="105"/>
      <c r="G16" s="105"/>
      <c r="H16" s="106"/>
      <c r="I16" s="77"/>
      <c r="J16" s="107"/>
      <c r="K16" s="105"/>
      <c r="L16" s="105"/>
      <c r="M16" s="105"/>
      <c r="N16" s="105"/>
      <c r="O16" s="105"/>
      <c r="P16" s="106"/>
      <c r="Q16" s="77"/>
      <c r="R16" s="107"/>
      <c r="S16" s="105"/>
      <c r="T16" s="105"/>
      <c r="U16" s="105"/>
      <c r="V16" s="105"/>
      <c r="W16" s="105"/>
      <c r="X16" s="106"/>
      <c r="Y16" s="77"/>
      <c r="Z16" s="107"/>
      <c r="AA16" s="105"/>
      <c r="AB16" s="105"/>
      <c r="AC16" s="105"/>
      <c r="AD16" s="105"/>
      <c r="AE16" s="105"/>
      <c r="AF16" s="106"/>
      <c r="AG16" s="77"/>
      <c r="AH16" s="107"/>
      <c r="AI16" s="105"/>
      <c r="AJ16" s="105"/>
      <c r="AK16" s="105"/>
      <c r="AL16" s="105"/>
      <c r="AM16" s="105"/>
      <c r="AN16" s="106"/>
      <c r="AO16" s="77"/>
      <c r="AP16" s="107"/>
      <c r="AQ16" s="105"/>
      <c r="AR16" s="105"/>
      <c r="AS16" s="105"/>
      <c r="AT16" s="105"/>
      <c r="AU16" s="105"/>
      <c r="AV16" s="106"/>
      <c r="AW16" s="77"/>
      <c r="AX16" s="107"/>
      <c r="AY16" s="105"/>
      <c r="AZ16" s="105"/>
      <c r="BA16" s="105"/>
      <c r="BB16" s="105"/>
      <c r="BC16" s="105"/>
      <c r="BD16" s="106"/>
      <c r="BE16" s="77"/>
      <c r="BF16" s="107"/>
      <c r="BG16" s="105"/>
      <c r="BH16" s="105"/>
      <c r="BI16" s="105"/>
      <c r="BJ16" s="105"/>
      <c r="BK16" s="105"/>
      <c r="BL16" s="106"/>
      <c r="BM16" s="77"/>
      <c r="BN16" s="107"/>
      <c r="BO16" s="105"/>
      <c r="BP16" s="105"/>
      <c r="BQ16" s="105"/>
      <c r="BR16" s="105"/>
      <c r="BS16" s="105"/>
      <c r="BT16" s="106"/>
    </row>
    <row r="17" spans="1:72" s="100" customFormat="1" x14ac:dyDescent="0.25">
      <c r="A17" s="88" t="s">
        <v>10</v>
      </c>
      <c r="B17" s="108">
        <v>40925</v>
      </c>
      <c r="C17" s="103">
        <v>42427</v>
      </c>
      <c r="D17" s="103">
        <v>83352</v>
      </c>
      <c r="E17" s="103">
        <v>39068</v>
      </c>
      <c r="F17" s="103">
        <v>122420</v>
      </c>
      <c r="G17" s="103">
        <v>0</v>
      </c>
      <c r="H17" s="104">
        <v>122420</v>
      </c>
      <c r="I17" s="89"/>
      <c r="J17" s="108">
        <v>34840</v>
      </c>
      <c r="K17" s="103">
        <v>32651</v>
      </c>
      <c r="L17" s="103">
        <v>67491</v>
      </c>
      <c r="M17" s="103">
        <v>28351</v>
      </c>
      <c r="N17" s="103">
        <v>95842</v>
      </c>
      <c r="O17" s="103">
        <v>33854</v>
      </c>
      <c r="P17" s="104">
        <v>129696</v>
      </c>
      <c r="Q17" s="109"/>
      <c r="R17" s="108">
        <v>30816</v>
      </c>
      <c r="S17" s="103">
        <v>22225</v>
      </c>
      <c r="T17" s="103">
        <v>53041</v>
      </c>
      <c r="U17" s="103">
        <v>26277</v>
      </c>
      <c r="V17" s="103">
        <v>79318</v>
      </c>
      <c r="W17" s="103">
        <v>25567</v>
      </c>
      <c r="X17" s="104">
        <v>104885</v>
      </c>
      <c r="Y17" s="109"/>
      <c r="Z17" s="108">
        <v>30286</v>
      </c>
      <c r="AA17" s="103">
        <v>21345</v>
      </c>
      <c r="AB17" s="103">
        <v>51631</v>
      </c>
      <c r="AC17" s="103">
        <v>20728</v>
      </c>
      <c r="AD17" s="103">
        <v>72359</v>
      </c>
      <c r="AE17" s="103">
        <v>19096</v>
      </c>
      <c r="AF17" s="104">
        <v>91455</v>
      </c>
      <c r="AG17" s="109"/>
      <c r="AH17" s="108">
        <v>35940</v>
      </c>
      <c r="AI17" s="103">
        <v>23477</v>
      </c>
      <c r="AJ17" s="103">
        <v>59417</v>
      </c>
      <c r="AK17" s="103">
        <v>23695</v>
      </c>
      <c r="AL17" s="103">
        <v>83112</v>
      </c>
      <c r="AM17" s="103">
        <v>22233</v>
      </c>
      <c r="AN17" s="104">
        <v>105345</v>
      </c>
      <c r="AO17" s="109"/>
      <c r="AP17" s="108">
        <v>43980</v>
      </c>
      <c r="AQ17" s="103">
        <v>33308</v>
      </c>
      <c r="AR17" s="103">
        <v>77288</v>
      </c>
      <c r="AS17" s="103">
        <v>32104</v>
      </c>
      <c r="AT17" s="103">
        <v>109392</v>
      </c>
      <c r="AU17" s="103">
        <v>27509</v>
      </c>
      <c r="AV17" s="104">
        <v>136901</v>
      </c>
      <c r="AW17" s="109"/>
      <c r="AX17" s="108">
        <v>41504</v>
      </c>
      <c r="AY17" s="103">
        <v>34080</v>
      </c>
      <c r="AZ17" s="103">
        <v>75584</v>
      </c>
      <c r="BA17" s="103">
        <v>33039</v>
      </c>
      <c r="BB17" s="103">
        <v>108623</v>
      </c>
      <c r="BC17" s="103">
        <v>33348</v>
      </c>
      <c r="BD17" s="104">
        <v>141971</v>
      </c>
      <c r="BE17" s="109"/>
      <c r="BF17" s="108">
        <v>37180</v>
      </c>
      <c r="BG17" s="103">
        <v>31261</v>
      </c>
      <c r="BH17" s="103">
        <v>68441</v>
      </c>
      <c r="BI17" s="103">
        <v>31386</v>
      </c>
      <c r="BJ17" s="103">
        <v>99827</v>
      </c>
      <c r="BK17" s="103">
        <v>31122</v>
      </c>
      <c r="BL17" s="104">
        <v>130949</v>
      </c>
      <c r="BM17" s="109"/>
      <c r="BN17" s="108">
        <v>0</v>
      </c>
      <c r="BO17" s="103">
        <v>0</v>
      </c>
      <c r="BP17" s="103">
        <v>0</v>
      </c>
      <c r="BQ17" s="103">
        <v>11498</v>
      </c>
      <c r="BR17" s="103">
        <v>11498</v>
      </c>
      <c r="BS17" s="103">
        <v>35483</v>
      </c>
      <c r="BT17" s="104">
        <v>46981</v>
      </c>
    </row>
    <row r="18" spans="1:72" s="100" customFormat="1" x14ac:dyDescent="0.25">
      <c r="A18" s="88" t="s">
        <v>11</v>
      </c>
      <c r="B18" s="108">
        <v>36810</v>
      </c>
      <c r="C18" s="103">
        <v>38584</v>
      </c>
      <c r="D18" s="103">
        <v>75394</v>
      </c>
      <c r="E18" s="103">
        <v>35413</v>
      </c>
      <c r="F18" s="103">
        <v>110807</v>
      </c>
      <c r="G18" s="103">
        <v>0</v>
      </c>
      <c r="H18" s="104">
        <v>110807</v>
      </c>
      <c r="I18" s="89"/>
      <c r="J18" s="108">
        <v>31376</v>
      </c>
      <c r="K18" s="103">
        <v>29702</v>
      </c>
      <c r="L18" s="103">
        <v>61078</v>
      </c>
      <c r="M18" s="103">
        <v>26073</v>
      </c>
      <c r="N18" s="103">
        <v>87151</v>
      </c>
      <c r="O18" s="103">
        <v>30728</v>
      </c>
      <c r="P18" s="104">
        <v>117879</v>
      </c>
      <c r="Q18" s="109"/>
      <c r="R18" s="108">
        <v>28128</v>
      </c>
      <c r="S18" s="103">
        <v>20653</v>
      </c>
      <c r="T18" s="103">
        <v>48781</v>
      </c>
      <c r="U18" s="103">
        <v>24538</v>
      </c>
      <c r="V18" s="103">
        <v>73319</v>
      </c>
      <c r="W18" s="103">
        <v>23252</v>
      </c>
      <c r="X18" s="104">
        <v>96571</v>
      </c>
      <c r="Y18" s="109"/>
      <c r="Z18" s="108">
        <v>27658</v>
      </c>
      <c r="AA18" s="103">
        <v>20355</v>
      </c>
      <c r="AB18" s="103">
        <v>48013</v>
      </c>
      <c r="AC18" s="103">
        <v>19535</v>
      </c>
      <c r="AD18" s="103">
        <v>67548</v>
      </c>
      <c r="AE18" s="103">
        <v>17982</v>
      </c>
      <c r="AF18" s="104">
        <v>85530</v>
      </c>
      <c r="AG18" s="109"/>
      <c r="AH18" s="108">
        <v>31289</v>
      </c>
      <c r="AI18" s="103">
        <v>20346</v>
      </c>
      <c r="AJ18" s="103">
        <v>51635</v>
      </c>
      <c r="AK18" s="103">
        <v>21934</v>
      </c>
      <c r="AL18" s="103">
        <v>73569</v>
      </c>
      <c r="AM18" s="103">
        <v>27461</v>
      </c>
      <c r="AN18" s="104">
        <v>101030</v>
      </c>
      <c r="AO18" s="109"/>
      <c r="AP18" s="108">
        <v>35946</v>
      </c>
      <c r="AQ18" s="103">
        <v>26873</v>
      </c>
      <c r="AR18" s="103">
        <v>62819</v>
      </c>
      <c r="AS18" s="103">
        <v>27653</v>
      </c>
      <c r="AT18" s="103">
        <v>90472</v>
      </c>
      <c r="AU18" s="103">
        <v>24531</v>
      </c>
      <c r="AV18" s="104">
        <v>115003</v>
      </c>
      <c r="AW18" s="109"/>
      <c r="AX18" s="108">
        <v>33565</v>
      </c>
      <c r="AY18" s="103">
        <v>26746</v>
      </c>
      <c r="AZ18" s="103">
        <v>60311</v>
      </c>
      <c r="BA18" s="103">
        <v>26761</v>
      </c>
      <c r="BB18" s="103">
        <v>87072</v>
      </c>
      <c r="BC18" s="103">
        <v>27273</v>
      </c>
      <c r="BD18" s="104">
        <v>114345</v>
      </c>
      <c r="BE18" s="109"/>
      <c r="BF18" s="108">
        <v>28925</v>
      </c>
      <c r="BG18" s="103">
        <v>24811</v>
      </c>
      <c r="BH18" s="103">
        <v>53736</v>
      </c>
      <c r="BI18" s="103">
        <v>25290</v>
      </c>
      <c r="BJ18" s="103">
        <v>79026</v>
      </c>
      <c r="BK18" s="103">
        <v>25514</v>
      </c>
      <c r="BL18" s="104">
        <v>104540</v>
      </c>
      <c r="BM18" s="109"/>
      <c r="BN18" s="108">
        <v>0</v>
      </c>
      <c r="BO18" s="103">
        <v>0</v>
      </c>
      <c r="BP18" s="103">
        <v>0</v>
      </c>
      <c r="BQ18" s="103">
        <v>9028</v>
      </c>
      <c r="BR18" s="103">
        <v>9028</v>
      </c>
      <c r="BS18" s="103">
        <v>27437</v>
      </c>
      <c r="BT18" s="104">
        <v>36465</v>
      </c>
    </row>
    <row r="19" spans="1:72" s="100" customFormat="1" x14ac:dyDescent="0.25">
      <c r="A19" s="88" t="s">
        <v>12</v>
      </c>
      <c r="B19" s="108">
        <v>4115</v>
      </c>
      <c r="C19" s="103">
        <v>3843</v>
      </c>
      <c r="D19" s="103">
        <v>7958</v>
      </c>
      <c r="E19" s="103">
        <v>3655</v>
      </c>
      <c r="F19" s="103">
        <v>11613</v>
      </c>
      <c r="G19" s="103">
        <v>0</v>
      </c>
      <c r="H19" s="104">
        <v>11613</v>
      </c>
      <c r="I19" s="89"/>
      <c r="J19" s="108">
        <v>3464</v>
      </c>
      <c r="K19" s="103">
        <v>2949</v>
      </c>
      <c r="L19" s="103">
        <v>6413</v>
      </c>
      <c r="M19" s="103">
        <v>2278</v>
      </c>
      <c r="N19" s="103">
        <v>8691</v>
      </c>
      <c r="O19" s="103">
        <v>3126</v>
      </c>
      <c r="P19" s="104">
        <v>11817</v>
      </c>
      <c r="Q19" s="109"/>
      <c r="R19" s="108">
        <v>2688</v>
      </c>
      <c r="S19" s="103">
        <v>1572</v>
      </c>
      <c r="T19" s="103">
        <v>4260</v>
      </c>
      <c r="U19" s="103">
        <v>1739</v>
      </c>
      <c r="V19" s="103">
        <v>5999</v>
      </c>
      <c r="W19" s="103">
        <v>2315</v>
      </c>
      <c r="X19" s="104">
        <v>8314</v>
      </c>
      <c r="Y19" s="109"/>
      <c r="Z19" s="108">
        <v>2628</v>
      </c>
      <c r="AA19" s="103">
        <v>990</v>
      </c>
      <c r="AB19" s="103">
        <v>3618</v>
      </c>
      <c r="AC19" s="103">
        <v>1193</v>
      </c>
      <c r="AD19" s="103">
        <v>4811</v>
      </c>
      <c r="AE19" s="103">
        <v>1114</v>
      </c>
      <c r="AF19" s="104">
        <v>5925</v>
      </c>
      <c r="AG19" s="109"/>
      <c r="AH19" s="108">
        <v>4651</v>
      </c>
      <c r="AI19" s="103">
        <v>3131</v>
      </c>
      <c r="AJ19" s="103">
        <v>7782</v>
      </c>
      <c r="AK19" s="103">
        <v>1761</v>
      </c>
      <c r="AL19" s="103">
        <v>9543</v>
      </c>
      <c r="AM19" s="103">
        <v>-5228</v>
      </c>
      <c r="AN19" s="104">
        <v>4315</v>
      </c>
      <c r="AO19" s="109"/>
      <c r="AP19" s="108">
        <v>8034</v>
      </c>
      <c r="AQ19" s="103">
        <v>6435</v>
      </c>
      <c r="AR19" s="103">
        <v>14469</v>
      </c>
      <c r="AS19" s="103">
        <v>4451</v>
      </c>
      <c r="AT19" s="103">
        <v>18920</v>
      </c>
      <c r="AU19" s="103">
        <v>2978</v>
      </c>
      <c r="AV19" s="104">
        <v>21898</v>
      </c>
      <c r="AW19" s="109"/>
      <c r="AX19" s="108">
        <v>7939</v>
      </c>
      <c r="AY19" s="103">
        <v>7334</v>
      </c>
      <c r="AZ19" s="103">
        <v>15273</v>
      </c>
      <c r="BA19" s="103">
        <v>6278</v>
      </c>
      <c r="BB19" s="103">
        <v>21551</v>
      </c>
      <c r="BC19" s="103">
        <v>6075</v>
      </c>
      <c r="BD19" s="104">
        <v>27626</v>
      </c>
      <c r="BE19" s="109"/>
      <c r="BF19" s="108">
        <v>8255</v>
      </c>
      <c r="BG19" s="103">
        <v>6450</v>
      </c>
      <c r="BH19" s="103">
        <v>14705</v>
      </c>
      <c r="BI19" s="103">
        <v>6096</v>
      </c>
      <c r="BJ19" s="103">
        <v>20801</v>
      </c>
      <c r="BK19" s="103">
        <v>5608</v>
      </c>
      <c r="BL19" s="104">
        <v>26409</v>
      </c>
      <c r="BM19" s="109"/>
      <c r="BN19" s="108">
        <v>0</v>
      </c>
      <c r="BO19" s="103">
        <v>0</v>
      </c>
      <c r="BP19" s="103">
        <v>0</v>
      </c>
      <c r="BQ19" s="103">
        <v>2470</v>
      </c>
      <c r="BR19" s="103">
        <v>2470</v>
      </c>
      <c r="BS19" s="103">
        <v>8046</v>
      </c>
      <c r="BT19" s="104">
        <v>10516</v>
      </c>
    </row>
    <row r="20" spans="1:72" outlineLevel="1" x14ac:dyDescent="0.25">
      <c r="A20" s="42" t="s">
        <v>13</v>
      </c>
      <c r="B20" s="107">
        <v>2426</v>
      </c>
      <c r="C20" s="105">
        <v>2281</v>
      </c>
      <c r="D20" s="105">
        <v>4707</v>
      </c>
      <c r="E20" s="105">
        <v>2745</v>
      </c>
      <c r="F20" s="105">
        <v>7452</v>
      </c>
      <c r="G20" s="105">
        <v>0</v>
      </c>
      <c r="H20" s="106">
        <v>7452</v>
      </c>
      <c r="I20" s="77"/>
      <c r="J20" s="107">
        <v>2331</v>
      </c>
      <c r="K20" s="105">
        <v>1919</v>
      </c>
      <c r="L20" s="105">
        <v>4250</v>
      </c>
      <c r="M20" s="105">
        <v>1864</v>
      </c>
      <c r="N20" s="105">
        <v>6114</v>
      </c>
      <c r="O20" s="105">
        <v>1989</v>
      </c>
      <c r="P20" s="106">
        <v>8103</v>
      </c>
      <c r="Q20" s="110"/>
      <c r="R20" s="107">
        <v>2102</v>
      </c>
      <c r="S20" s="105">
        <v>1780</v>
      </c>
      <c r="T20" s="105">
        <v>3882</v>
      </c>
      <c r="U20" s="105">
        <v>1892</v>
      </c>
      <c r="V20" s="105">
        <v>5774</v>
      </c>
      <c r="W20" s="105">
        <v>2312</v>
      </c>
      <c r="X20" s="106">
        <v>8086</v>
      </c>
      <c r="Y20" s="110"/>
      <c r="Z20" s="107">
        <v>2326</v>
      </c>
      <c r="AA20" s="105">
        <v>1717</v>
      </c>
      <c r="AB20" s="105">
        <v>4043</v>
      </c>
      <c r="AC20" s="105">
        <v>1761</v>
      </c>
      <c r="AD20" s="105">
        <v>5804</v>
      </c>
      <c r="AE20" s="105">
        <v>1588</v>
      </c>
      <c r="AF20" s="106">
        <v>7392</v>
      </c>
      <c r="AG20" s="110"/>
      <c r="AH20" s="107">
        <v>4278</v>
      </c>
      <c r="AI20" s="105">
        <v>4182</v>
      </c>
      <c r="AJ20" s="105">
        <v>8460</v>
      </c>
      <c r="AK20" s="105">
        <v>3726</v>
      </c>
      <c r="AL20" s="105">
        <v>12186</v>
      </c>
      <c r="AM20" s="105">
        <v>-2637</v>
      </c>
      <c r="AN20" s="106">
        <v>9549</v>
      </c>
      <c r="AO20" s="110"/>
      <c r="AP20" s="107">
        <v>4650</v>
      </c>
      <c r="AQ20" s="105">
        <v>4579</v>
      </c>
      <c r="AR20" s="105">
        <v>9229</v>
      </c>
      <c r="AS20" s="105">
        <v>4042</v>
      </c>
      <c r="AT20" s="105">
        <v>13271</v>
      </c>
      <c r="AU20" s="105">
        <v>4197</v>
      </c>
      <c r="AV20" s="106">
        <v>17468</v>
      </c>
      <c r="AW20" s="110"/>
      <c r="AX20" s="107">
        <v>4879</v>
      </c>
      <c r="AY20" s="105">
        <v>4518</v>
      </c>
      <c r="AZ20" s="105">
        <v>9397</v>
      </c>
      <c r="BA20" s="105">
        <v>4263</v>
      </c>
      <c r="BB20" s="105">
        <v>13660</v>
      </c>
      <c r="BC20" s="105">
        <v>4421</v>
      </c>
      <c r="BD20" s="106">
        <v>18081</v>
      </c>
      <c r="BE20" s="110"/>
      <c r="BF20" s="107">
        <v>3689</v>
      </c>
      <c r="BG20" s="105">
        <v>4372</v>
      </c>
      <c r="BH20" s="105">
        <v>8061</v>
      </c>
      <c r="BI20" s="105">
        <v>5012</v>
      </c>
      <c r="BJ20" s="105">
        <v>13073</v>
      </c>
      <c r="BK20" s="105">
        <v>4780</v>
      </c>
      <c r="BL20" s="106">
        <v>17853</v>
      </c>
      <c r="BM20" s="110"/>
      <c r="BN20" s="107">
        <v>0</v>
      </c>
      <c r="BO20" s="105">
        <v>0</v>
      </c>
      <c r="BP20" s="105">
        <v>0</v>
      </c>
      <c r="BQ20" s="105">
        <v>1539</v>
      </c>
      <c r="BR20" s="105">
        <v>1539</v>
      </c>
      <c r="BS20" s="105">
        <v>5155</v>
      </c>
      <c r="BT20" s="106">
        <v>6694</v>
      </c>
    </row>
    <row r="21" spans="1:72" ht="15" customHeight="1" outlineLevel="1" x14ac:dyDescent="0.25">
      <c r="A21" s="42" t="s">
        <v>14</v>
      </c>
      <c r="B21" s="107">
        <v>0</v>
      </c>
      <c r="C21" s="105">
        <v>0</v>
      </c>
      <c r="D21" s="105">
        <v>0</v>
      </c>
      <c r="E21" s="105">
        <v>0</v>
      </c>
      <c r="F21" s="105">
        <v>0</v>
      </c>
      <c r="G21" s="105">
        <v>0</v>
      </c>
      <c r="H21" s="106">
        <v>0</v>
      </c>
      <c r="I21" s="77"/>
      <c r="J21" s="107">
        <v>0</v>
      </c>
      <c r="K21" s="105">
        <v>0</v>
      </c>
      <c r="L21" s="105">
        <v>0</v>
      </c>
      <c r="M21" s="105">
        <v>0</v>
      </c>
      <c r="N21" s="105">
        <v>0</v>
      </c>
      <c r="O21" s="105">
        <v>0</v>
      </c>
      <c r="P21" s="106">
        <v>0</v>
      </c>
      <c r="Q21" s="110"/>
      <c r="R21" s="107">
        <v>0</v>
      </c>
      <c r="S21" s="105">
        <v>0</v>
      </c>
      <c r="T21" s="105">
        <v>0</v>
      </c>
      <c r="U21" s="105">
        <v>0</v>
      </c>
      <c r="V21" s="105">
        <v>0</v>
      </c>
      <c r="W21" s="105">
        <v>0</v>
      </c>
      <c r="X21" s="106">
        <v>0</v>
      </c>
      <c r="Y21" s="110"/>
      <c r="Z21" s="107">
        <v>0</v>
      </c>
      <c r="AA21" s="105">
        <v>0</v>
      </c>
      <c r="AB21" s="105">
        <v>0</v>
      </c>
      <c r="AC21" s="105">
        <v>0</v>
      </c>
      <c r="AD21" s="105">
        <v>0</v>
      </c>
      <c r="AE21" s="105">
        <v>0</v>
      </c>
      <c r="AF21" s="106">
        <v>0</v>
      </c>
      <c r="AG21" s="110"/>
      <c r="AH21" s="107">
        <v>125</v>
      </c>
      <c r="AI21" s="105">
        <v>0</v>
      </c>
      <c r="AJ21" s="105">
        <v>125</v>
      </c>
      <c r="AK21" s="105">
        <v>0</v>
      </c>
      <c r="AL21" s="105">
        <v>125</v>
      </c>
      <c r="AM21" s="105">
        <v>0</v>
      </c>
      <c r="AN21" s="106">
        <v>125</v>
      </c>
      <c r="AO21" s="110"/>
      <c r="AP21" s="107">
        <v>125</v>
      </c>
      <c r="AQ21" s="105">
        <v>125</v>
      </c>
      <c r="AR21" s="105">
        <v>250</v>
      </c>
      <c r="AS21" s="105">
        <v>125</v>
      </c>
      <c r="AT21" s="105">
        <v>375</v>
      </c>
      <c r="AU21" s="105">
        <v>125</v>
      </c>
      <c r="AV21" s="106">
        <v>500</v>
      </c>
      <c r="AW21" s="110"/>
      <c r="AX21" s="107">
        <v>125</v>
      </c>
      <c r="AY21" s="105">
        <v>125</v>
      </c>
      <c r="AZ21" s="105">
        <v>250</v>
      </c>
      <c r="BA21" s="105">
        <v>125</v>
      </c>
      <c r="BB21" s="105">
        <v>375</v>
      </c>
      <c r="BC21" s="105">
        <v>0</v>
      </c>
      <c r="BD21" s="106">
        <v>375</v>
      </c>
      <c r="BE21" s="110"/>
      <c r="BF21" s="107">
        <v>125</v>
      </c>
      <c r="BG21" s="105">
        <v>125</v>
      </c>
      <c r="BH21" s="105">
        <v>250</v>
      </c>
      <c r="BI21" s="105">
        <v>125</v>
      </c>
      <c r="BJ21" s="105">
        <v>375</v>
      </c>
      <c r="BK21" s="105">
        <v>125</v>
      </c>
      <c r="BL21" s="106">
        <v>500</v>
      </c>
      <c r="BM21" s="110"/>
      <c r="BN21" s="107">
        <v>0</v>
      </c>
      <c r="BO21" s="105">
        <v>0</v>
      </c>
      <c r="BP21" s="105">
        <v>0</v>
      </c>
      <c r="BQ21" s="105">
        <v>42</v>
      </c>
      <c r="BR21" s="105">
        <v>42</v>
      </c>
      <c r="BS21" s="105">
        <v>125</v>
      </c>
      <c r="BT21" s="106">
        <v>167</v>
      </c>
    </row>
    <row r="22" spans="1:72" ht="17.25" customHeight="1" outlineLevel="1" x14ac:dyDescent="0.25">
      <c r="A22" s="42" t="s">
        <v>15</v>
      </c>
      <c r="B22" s="107">
        <v>13</v>
      </c>
      <c r="C22" s="105">
        <v>13</v>
      </c>
      <c r="D22" s="105">
        <v>26</v>
      </c>
      <c r="E22" s="105">
        <v>9</v>
      </c>
      <c r="F22" s="105">
        <v>35</v>
      </c>
      <c r="G22" s="105">
        <v>0</v>
      </c>
      <c r="H22" s="106">
        <v>35</v>
      </c>
      <c r="I22" s="77"/>
      <c r="J22" s="107">
        <v>13</v>
      </c>
      <c r="K22" s="105">
        <v>13</v>
      </c>
      <c r="L22" s="105">
        <v>26</v>
      </c>
      <c r="M22" s="105">
        <v>13</v>
      </c>
      <c r="N22" s="105">
        <v>39</v>
      </c>
      <c r="O22" s="105">
        <v>14</v>
      </c>
      <c r="P22" s="106">
        <v>53</v>
      </c>
      <c r="Q22" s="110"/>
      <c r="R22" s="107">
        <v>13</v>
      </c>
      <c r="S22" s="105">
        <v>13</v>
      </c>
      <c r="T22" s="105">
        <v>26</v>
      </c>
      <c r="U22" s="105">
        <v>13</v>
      </c>
      <c r="V22" s="105">
        <v>39</v>
      </c>
      <c r="W22" s="105">
        <v>14</v>
      </c>
      <c r="X22" s="106">
        <v>53</v>
      </c>
      <c r="Y22" s="110"/>
      <c r="Z22" s="107">
        <v>13</v>
      </c>
      <c r="AA22" s="105">
        <v>13</v>
      </c>
      <c r="AB22" s="105">
        <v>26</v>
      </c>
      <c r="AC22" s="105">
        <v>13</v>
      </c>
      <c r="AD22" s="105">
        <v>39</v>
      </c>
      <c r="AE22" s="105">
        <v>14</v>
      </c>
      <c r="AF22" s="106">
        <v>53</v>
      </c>
      <c r="AG22" s="110"/>
      <c r="AH22" s="107">
        <v>546</v>
      </c>
      <c r="AI22" s="105">
        <v>546</v>
      </c>
      <c r="AJ22" s="105">
        <v>1092</v>
      </c>
      <c r="AK22" s="105">
        <v>545</v>
      </c>
      <c r="AL22" s="105">
        <v>1637</v>
      </c>
      <c r="AM22" s="105">
        <v>471</v>
      </c>
      <c r="AN22" s="106">
        <v>2108</v>
      </c>
      <c r="AO22" s="110"/>
      <c r="AP22" s="107">
        <v>546</v>
      </c>
      <c r="AQ22" s="105">
        <v>546</v>
      </c>
      <c r="AR22" s="105">
        <v>1092</v>
      </c>
      <c r="AS22" s="105">
        <v>545</v>
      </c>
      <c r="AT22" s="105">
        <v>1637</v>
      </c>
      <c r="AU22" s="105">
        <v>546</v>
      </c>
      <c r="AV22" s="106">
        <v>2183</v>
      </c>
      <c r="AW22" s="110"/>
      <c r="AX22" s="107">
        <v>733</v>
      </c>
      <c r="AY22" s="105">
        <v>734</v>
      </c>
      <c r="AZ22" s="105">
        <v>1467</v>
      </c>
      <c r="BA22" s="105">
        <v>670</v>
      </c>
      <c r="BB22" s="105">
        <v>2137</v>
      </c>
      <c r="BC22" s="105">
        <v>546</v>
      </c>
      <c r="BD22" s="106">
        <v>2683</v>
      </c>
      <c r="BE22" s="110"/>
      <c r="BF22" s="107">
        <v>733</v>
      </c>
      <c r="BG22" s="105">
        <v>734</v>
      </c>
      <c r="BH22" s="105">
        <v>1467</v>
      </c>
      <c r="BI22" s="105">
        <v>733</v>
      </c>
      <c r="BJ22" s="105">
        <v>2200</v>
      </c>
      <c r="BK22" s="105">
        <v>733</v>
      </c>
      <c r="BL22" s="106">
        <v>2933</v>
      </c>
      <c r="BM22" s="110"/>
      <c r="BN22" s="107">
        <v>0</v>
      </c>
      <c r="BO22" s="105">
        <v>0</v>
      </c>
      <c r="BP22" s="105">
        <v>0</v>
      </c>
      <c r="BQ22" s="105">
        <v>238</v>
      </c>
      <c r="BR22" s="105">
        <v>238</v>
      </c>
      <c r="BS22" s="105">
        <v>715</v>
      </c>
      <c r="BT22" s="106">
        <v>953</v>
      </c>
    </row>
    <row r="23" spans="1:72" s="158" customFormat="1" ht="15" customHeight="1" outlineLevel="1" x14ac:dyDescent="0.25">
      <c r="A23" s="42" t="s">
        <v>16</v>
      </c>
      <c r="B23" s="154">
        <v>0</v>
      </c>
      <c r="C23" s="155">
        <v>0</v>
      </c>
      <c r="D23" s="155">
        <v>0</v>
      </c>
      <c r="E23" s="155">
        <v>0</v>
      </c>
      <c r="F23" s="155">
        <v>0</v>
      </c>
      <c r="G23" s="155">
        <v>0</v>
      </c>
      <c r="H23" s="156">
        <v>0</v>
      </c>
      <c r="I23" s="115"/>
      <c r="J23" s="154">
        <v>0</v>
      </c>
      <c r="K23" s="155">
        <v>0</v>
      </c>
      <c r="L23" s="155">
        <v>0</v>
      </c>
      <c r="M23" s="155">
        <v>0</v>
      </c>
      <c r="N23" s="155">
        <v>0</v>
      </c>
      <c r="O23" s="155">
        <v>0</v>
      </c>
      <c r="P23" s="156">
        <v>0</v>
      </c>
      <c r="Q23" s="157"/>
      <c r="R23" s="154">
        <v>0</v>
      </c>
      <c r="S23" s="155">
        <v>0</v>
      </c>
      <c r="T23" s="155">
        <v>0</v>
      </c>
      <c r="U23" s="155">
        <v>0</v>
      </c>
      <c r="V23" s="155">
        <v>0</v>
      </c>
      <c r="W23" s="155">
        <v>0</v>
      </c>
      <c r="X23" s="156">
        <v>0</v>
      </c>
      <c r="Y23" s="157"/>
      <c r="Z23" s="154">
        <v>0</v>
      </c>
      <c r="AA23" s="155">
        <v>0</v>
      </c>
      <c r="AB23" s="155">
        <v>0</v>
      </c>
      <c r="AC23" s="155">
        <v>0</v>
      </c>
      <c r="AD23" s="155">
        <v>0</v>
      </c>
      <c r="AE23" s="155">
        <v>0</v>
      </c>
      <c r="AF23" s="156">
        <v>0</v>
      </c>
      <c r="AG23" s="157"/>
      <c r="AH23" s="154">
        <v>7700</v>
      </c>
      <c r="AI23" s="155">
        <v>0</v>
      </c>
      <c r="AJ23" s="155">
        <v>7700</v>
      </c>
      <c r="AK23" s="155">
        <v>0</v>
      </c>
      <c r="AL23" s="155">
        <v>7700</v>
      </c>
      <c r="AM23" s="155">
        <v>20069</v>
      </c>
      <c r="AN23" s="156">
        <v>27769</v>
      </c>
      <c r="AO23" s="157"/>
      <c r="AP23" s="154">
        <v>0</v>
      </c>
      <c r="AQ23" s="155">
        <v>0</v>
      </c>
      <c r="AR23" s="155">
        <v>0</v>
      </c>
      <c r="AS23" s="155">
        <v>42435</v>
      </c>
      <c r="AT23" s="155">
        <v>42435</v>
      </c>
      <c r="AU23" s="155">
        <v>-3600</v>
      </c>
      <c r="AV23" s="156">
        <v>38835</v>
      </c>
      <c r="AW23" s="157"/>
      <c r="AX23" s="154">
        <v>0</v>
      </c>
      <c r="AY23" s="155">
        <v>0</v>
      </c>
      <c r="AZ23" s="155">
        <v>0</v>
      </c>
      <c r="BA23" s="155">
        <v>0</v>
      </c>
      <c r="BB23" s="155">
        <v>0</v>
      </c>
      <c r="BC23" s="155">
        <v>0</v>
      </c>
      <c r="BD23" s="156">
        <v>0</v>
      </c>
      <c r="BE23" s="157"/>
      <c r="BF23" s="154">
        <v>0</v>
      </c>
      <c r="BG23" s="155">
        <v>0</v>
      </c>
      <c r="BH23" s="155">
        <v>0</v>
      </c>
      <c r="BI23" s="155">
        <v>0</v>
      </c>
      <c r="BJ23" s="155">
        <v>0</v>
      </c>
      <c r="BK23" s="155">
        <v>0</v>
      </c>
      <c r="BL23" s="156">
        <v>0</v>
      </c>
      <c r="BM23" s="157"/>
      <c r="BN23" s="154">
        <v>0</v>
      </c>
      <c r="BO23" s="155">
        <v>0</v>
      </c>
      <c r="BP23" s="155">
        <v>0</v>
      </c>
      <c r="BQ23" s="155">
        <v>0</v>
      </c>
      <c r="BR23" s="155">
        <v>0</v>
      </c>
      <c r="BS23" s="155">
        <v>0</v>
      </c>
      <c r="BT23" s="156">
        <v>0</v>
      </c>
    </row>
    <row r="24" spans="1:72" s="100" customFormat="1" x14ac:dyDescent="0.25">
      <c r="A24" s="88" t="s">
        <v>17</v>
      </c>
      <c r="B24" s="108">
        <v>1676</v>
      </c>
      <c r="C24" s="103">
        <v>1549</v>
      </c>
      <c r="D24" s="103">
        <v>3225</v>
      </c>
      <c r="E24" s="103">
        <v>901</v>
      </c>
      <c r="F24" s="103">
        <v>4126</v>
      </c>
      <c r="G24" s="103">
        <v>0</v>
      </c>
      <c r="H24" s="104">
        <v>4126</v>
      </c>
      <c r="I24" s="89"/>
      <c r="J24" s="108">
        <v>1120</v>
      </c>
      <c r="K24" s="103">
        <v>1017</v>
      </c>
      <c r="L24" s="103">
        <v>2137</v>
      </c>
      <c r="M24" s="103">
        <v>401</v>
      </c>
      <c r="N24" s="103">
        <v>2538</v>
      </c>
      <c r="O24" s="103">
        <v>1123</v>
      </c>
      <c r="P24" s="104">
        <v>3661</v>
      </c>
      <c r="Q24" s="109"/>
      <c r="R24" s="108">
        <v>573</v>
      </c>
      <c r="S24" s="103">
        <v>-221</v>
      </c>
      <c r="T24" s="103">
        <v>352</v>
      </c>
      <c r="U24" s="103">
        <v>-166</v>
      </c>
      <c r="V24" s="103">
        <v>186</v>
      </c>
      <c r="W24" s="103">
        <v>-11</v>
      </c>
      <c r="X24" s="104">
        <v>175</v>
      </c>
      <c r="Y24" s="109"/>
      <c r="Z24" s="108">
        <v>289</v>
      </c>
      <c r="AA24" s="103">
        <v>-740</v>
      </c>
      <c r="AB24" s="103">
        <v>-451</v>
      </c>
      <c r="AC24" s="103">
        <v>-581</v>
      </c>
      <c r="AD24" s="103">
        <v>-1032</v>
      </c>
      <c r="AE24" s="103">
        <v>-488</v>
      </c>
      <c r="AF24" s="104">
        <v>-1520</v>
      </c>
      <c r="AG24" s="109"/>
      <c r="AH24" s="108">
        <v>-7998</v>
      </c>
      <c r="AI24" s="103">
        <v>-1597</v>
      </c>
      <c r="AJ24" s="103">
        <v>-9595</v>
      </c>
      <c r="AK24" s="103">
        <v>-2510</v>
      </c>
      <c r="AL24" s="103">
        <v>-12105</v>
      </c>
      <c r="AM24" s="103">
        <v>-23131</v>
      </c>
      <c r="AN24" s="104">
        <v>-35236</v>
      </c>
      <c r="AO24" s="109"/>
      <c r="AP24" s="108">
        <v>2713</v>
      </c>
      <c r="AQ24" s="103">
        <v>1185</v>
      </c>
      <c r="AR24" s="103">
        <v>3898</v>
      </c>
      <c r="AS24" s="103">
        <v>-42696</v>
      </c>
      <c r="AT24" s="103">
        <v>-38798</v>
      </c>
      <c r="AU24" s="103">
        <v>1710</v>
      </c>
      <c r="AV24" s="104">
        <v>-37088</v>
      </c>
      <c r="AW24" s="109"/>
      <c r="AX24" s="108">
        <v>2202</v>
      </c>
      <c r="AY24" s="103">
        <v>1957</v>
      </c>
      <c r="AZ24" s="103">
        <v>4159</v>
      </c>
      <c r="BA24" s="103">
        <v>1220</v>
      </c>
      <c r="BB24" s="103">
        <v>5379</v>
      </c>
      <c r="BC24" s="103">
        <v>1108</v>
      </c>
      <c r="BD24" s="104">
        <v>6487</v>
      </c>
      <c r="BE24" s="109"/>
      <c r="BF24" s="108">
        <v>3708</v>
      </c>
      <c r="BG24" s="103">
        <v>1219</v>
      </c>
      <c r="BH24" s="103">
        <v>4927</v>
      </c>
      <c r="BI24" s="103">
        <v>226</v>
      </c>
      <c r="BJ24" s="103">
        <v>5153</v>
      </c>
      <c r="BK24" s="103">
        <v>-30</v>
      </c>
      <c r="BL24" s="104">
        <v>5123</v>
      </c>
      <c r="BM24" s="109"/>
      <c r="BN24" s="108">
        <v>0</v>
      </c>
      <c r="BO24" s="103">
        <v>0</v>
      </c>
      <c r="BP24" s="103">
        <v>0</v>
      </c>
      <c r="BQ24" s="103">
        <v>651</v>
      </c>
      <c r="BR24" s="103">
        <v>651</v>
      </c>
      <c r="BS24" s="103">
        <v>2051</v>
      </c>
      <c r="BT24" s="104">
        <v>2702</v>
      </c>
    </row>
    <row r="25" spans="1:72" ht="15" customHeight="1" outlineLevel="1" x14ac:dyDescent="0.25">
      <c r="A25" s="42" t="s">
        <v>18</v>
      </c>
      <c r="B25" s="107">
        <v>-5</v>
      </c>
      <c r="C25" s="105">
        <v>-3</v>
      </c>
      <c r="D25" s="105">
        <v>-8</v>
      </c>
      <c r="E25" s="105">
        <v>0</v>
      </c>
      <c r="F25" s="105">
        <v>-8</v>
      </c>
      <c r="G25" s="105">
        <v>0</v>
      </c>
      <c r="H25" s="106">
        <v>-8</v>
      </c>
      <c r="I25" s="77"/>
      <c r="J25" s="107">
        <v>9</v>
      </c>
      <c r="K25" s="105">
        <v>7</v>
      </c>
      <c r="L25" s="105">
        <v>16</v>
      </c>
      <c r="M25" s="105">
        <v>6</v>
      </c>
      <c r="N25" s="105">
        <v>22</v>
      </c>
      <c r="O25" s="105">
        <v>-96</v>
      </c>
      <c r="P25" s="106">
        <v>-74</v>
      </c>
      <c r="Q25" s="110"/>
      <c r="R25" s="107">
        <v>30</v>
      </c>
      <c r="S25" s="105">
        <v>22</v>
      </c>
      <c r="T25" s="105">
        <v>52</v>
      </c>
      <c r="U25" s="105">
        <v>26</v>
      </c>
      <c r="V25" s="105">
        <v>78</v>
      </c>
      <c r="W25" s="105">
        <v>9</v>
      </c>
      <c r="X25" s="106">
        <v>87</v>
      </c>
      <c r="Y25" s="110"/>
      <c r="Z25" s="107">
        <v>33</v>
      </c>
      <c r="AA25" s="105">
        <v>87</v>
      </c>
      <c r="AB25" s="105">
        <v>120</v>
      </c>
      <c r="AC25" s="105">
        <v>36</v>
      </c>
      <c r="AD25" s="105">
        <v>156</v>
      </c>
      <c r="AE25" s="105">
        <v>-1</v>
      </c>
      <c r="AF25" s="106">
        <v>155</v>
      </c>
      <c r="AG25" s="110"/>
      <c r="AH25" s="107">
        <v>352</v>
      </c>
      <c r="AI25" s="105">
        <v>10</v>
      </c>
      <c r="AJ25" s="105">
        <v>362</v>
      </c>
      <c r="AK25" s="105">
        <v>38</v>
      </c>
      <c r="AL25" s="105">
        <v>400</v>
      </c>
      <c r="AM25" s="105">
        <v>53</v>
      </c>
      <c r="AN25" s="106">
        <v>453</v>
      </c>
      <c r="AO25" s="110"/>
      <c r="AP25" s="107">
        <v>60</v>
      </c>
      <c r="AQ25" s="105">
        <v>56</v>
      </c>
      <c r="AR25" s="105">
        <v>116</v>
      </c>
      <c r="AS25" s="105">
        <v>43</v>
      </c>
      <c r="AT25" s="105">
        <v>159</v>
      </c>
      <c r="AU25" s="105">
        <v>60</v>
      </c>
      <c r="AV25" s="106">
        <v>219</v>
      </c>
      <c r="AW25" s="110"/>
      <c r="AX25" s="107">
        <v>71</v>
      </c>
      <c r="AY25" s="105">
        <v>330</v>
      </c>
      <c r="AZ25" s="105">
        <v>401</v>
      </c>
      <c r="BA25" s="105">
        <v>63</v>
      </c>
      <c r="BB25" s="105">
        <v>464</v>
      </c>
      <c r="BC25" s="105">
        <v>-227</v>
      </c>
      <c r="BD25" s="106">
        <v>237</v>
      </c>
      <c r="BE25" s="110"/>
      <c r="BF25" s="107">
        <v>82</v>
      </c>
      <c r="BG25" s="105">
        <v>-18</v>
      </c>
      <c r="BH25" s="105">
        <v>64</v>
      </c>
      <c r="BI25" s="105">
        <v>62</v>
      </c>
      <c r="BJ25" s="105">
        <v>126</v>
      </c>
      <c r="BK25" s="105">
        <v>67</v>
      </c>
      <c r="BL25" s="106">
        <v>193</v>
      </c>
      <c r="BM25" s="110"/>
      <c r="BN25" s="107">
        <v>0</v>
      </c>
      <c r="BO25" s="105">
        <v>0</v>
      </c>
      <c r="BP25" s="105">
        <v>0</v>
      </c>
      <c r="BQ25" s="105">
        <v>8</v>
      </c>
      <c r="BR25" s="105">
        <v>8</v>
      </c>
      <c r="BS25" s="105">
        <v>120</v>
      </c>
      <c r="BT25" s="106">
        <v>128</v>
      </c>
    </row>
    <row r="26" spans="1:72" ht="15" customHeight="1" outlineLevel="1" x14ac:dyDescent="0.25">
      <c r="A26" s="42" t="s">
        <v>19</v>
      </c>
      <c r="B26" s="107">
        <v>0</v>
      </c>
      <c r="C26" s="105">
        <v>0</v>
      </c>
      <c r="D26" s="105">
        <v>0</v>
      </c>
      <c r="E26" s="105">
        <v>0</v>
      </c>
      <c r="F26" s="105">
        <v>0</v>
      </c>
      <c r="G26" s="105">
        <v>0</v>
      </c>
      <c r="H26" s="106">
        <v>0</v>
      </c>
      <c r="I26" s="77"/>
      <c r="J26" s="107">
        <v>0</v>
      </c>
      <c r="K26" s="105">
        <v>0</v>
      </c>
      <c r="L26" s="105">
        <v>0</v>
      </c>
      <c r="M26" s="105">
        <v>0</v>
      </c>
      <c r="N26" s="105">
        <v>0</v>
      </c>
      <c r="O26" s="105">
        <v>0</v>
      </c>
      <c r="P26" s="106">
        <v>0</v>
      </c>
      <c r="Q26" s="110"/>
      <c r="R26" s="107">
        <v>0</v>
      </c>
      <c r="S26" s="105">
        <v>0</v>
      </c>
      <c r="T26" s="105">
        <v>0</v>
      </c>
      <c r="U26" s="105">
        <v>0</v>
      </c>
      <c r="V26" s="105">
        <v>0</v>
      </c>
      <c r="W26" s="105">
        <v>0</v>
      </c>
      <c r="X26" s="106">
        <v>0</v>
      </c>
      <c r="Y26" s="110"/>
      <c r="Z26" s="107">
        <v>4</v>
      </c>
      <c r="AA26" s="105">
        <v>2</v>
      </c>
      <c r="AB26" s="105">
        <v>6</v>
      </c>
      <c r="AC26" s="105">
        <v>0</v>
      </c>
      <c r="AD26" s="105">
        <v>6</v>
      </c>
      <c r="AE26" s="105">
        <v>0</v>
      </c>
      <c r="AF26" s="106">
        <v>6</v>
      </c>
      <c r="AG26" s="110"/>
      <c r="AH26" s="107">
        <v>7</v>
      </c>
      <c r="AI26" s="105">
        <v>17</v>
      </c>
      <c r="AJ26" s="105">
        <v>24</v>
      </c>
      <c r="AK26" s="105">
        <v>-5</v>
      </c>
      <c r="AL26" s="105">
        <v>19</v>
      </c>
      <c r="AM26" s="105">
        <v>4</v>
      </c>
      <c r="AN26" s="106">
        <v>23</v>
      </c>
      <c r="AO26" s="110"/>
      <c r="AP26" s="107">
        <v>4</v>
      </c>
      <c r="AQ26" s="105">
        <v>8</v>
      </c>
      <c r="AR26" s="105">
        <v>12</v>
      </c>
      <c r="AS26" s="105">
        <v>9</v>
      </c>
      <c r="AT26" s="105">
        <v>21</v>
      </c>
      <c r="AU26" s="105">
        <v>6</v>
      </c>
      <c r="AV26" s="106">
        <v>27</v>
      </c>
      <c r="AW26" s="110"/>
      <c r="AX26" s="107">
        <v>24</v>
      </c>
      <c r="AY26" s="105">
        <v>10</v>
      </c>
      <c r="AZ26" s="105">
        <v>34</v>
      </c>
      <c r="BA26" s="105">
        <v>10</v>
      </c>
      <c r="BB26" s="105">
        <v>44</v>
      </c>
      <c r="BC26" s="105">
        <v>8</v>
      </c>
      <c r="BD26" s="106">
        <v>52</v>
      </c>
      <c r="BE26" s="110"/>
      <c r="BF26" s="107">
        <v>38</v>
      </c>
      <c r="BG26" s="105">
        <v>-38</v>
      </c>
      <c r="BH26" s="105">
        <v>0</v>
      </c>
      <c r="BI26" s="105">
        <v>1</v>
      </c>
      <c r="BJ26" s="105">
        <v>1</v>
      </c>
      <c r="BK26" s="105">
        <v>-1</v>
      </c>
      <c r="BL26" s="106">
        <v>0</v>
      </c>
      <c r="BM26" s="110"/>
      <c r="BN26" s="107">
        <v>0</v>
      </c>
      <c r="BO26" s="105">
        <v>0</v>
      </c>
      <c r="BP26" s="105">
        <v>0</v>
      </c>
      <c r="BQ26" s="105">
        <v>0</v>
      </c>
      <c r="BR26" s="105">
        <v>0</v>
      </c>
      <c r="BS26" s="105">
        <v>0</v>
      </c>
      <c r="BT26" s="106">
        <v>0</v>
      </c>
    </row>
    <row r="27" spans="1:72" ht="15" customHeight="1" outlineLevel="1" x14ac:dyDescent="0.25">
      <c r="A27" s="42" t="s">
        <v>20</v>
      </c>
      <c r="B27" s="107">
        <v>510</v>
      </c>
      <c r="C27" s="105">
        <v>483</v>
      </c>
      <c r="D27" s="105">
        <v>993</v>
      </c>
      <c r="E27" s="105">
        <v>513</v>
      </c>
      <c r="F27" s="105">
        <v>1506</v>
      </c>
      <c r="G27" s="105">
        <v>0</v>
      </c>
      <c r="H27" s="106">
        <v>1506</v>
      </c>
      <c r="I27" s="77"/>
      <c r="J27" s="107">
        <v>546</v>
      </c>
      <c r="K27" s="105">
        <v>577</v>
      </c>
      <c r="L27" s="105">
        <v>1123</v>
      </c>
      <c r="M27" s="105">
        <v>571</v>
      </c>
      <c r="N27" s="105">
        <v>1694</v>
      </c>
      <c r="O27" s="105">
        <v>528</v>
      </c>
      <c r="P27" s="106">
        <v>2222</v>
      </c>
      <c r="Q27" s="110"/>
      <c r="R27" s="107">
        <v>449</v>
      </c>
      <c r="S27" s="105">
        <v>418</v>
      </c>
      <c r="T27" s="105">
        <v>867</v>
      </c>
      <c r="U27" s="105">
        <v>420</v>
      </c>
      <c r="V27" s="105">
        <v>1287</v>
      </c>
      <c r="W27" s="105">
        <v>468</v>
      </c>
      <c r="X27" s="106">
        <v>1755</v>
      </c>
      <c r="Y27" s="110"/>
      <c r="Z27" s="107">
        <v>429</v>
      </c>
      <c r="AA27" s="105">
        <v>366</v>
      </c>
      <c r="AB27" s="105">
        <v>795</v>
      </c>
      <c r="AC27" s="105">
        <v>424</v>
      </c>
      <c r="AD27" s="105">
        <v>1219</v>
      </c>
      <c r="AE27" s="105">
        <v>469</v>
      </c>
      <c r="AF27" s="106">
        <v>1688</v>
      </c>
      <c r="AG27" s="110"/>
      <c r="AH27" s="107">
        <v>604</v>
      </c>
      <c r="AI27" s="105">
        <v>562</v>
      </c>
      <c r="AJ27" s="105">
        <v>1166</v>
      </c>
      <c r="AK27" s="105">
        <v>570</v>
      </c>
      <c r="AL27" s="105">
        <v>1736</v>
      </c>
      <c r="AM27" s="105">
        <v>511</v>
      </c>
      <c r="AN27" s="106">
        <v>2247</v>
      </c>
      <c r="AO27" s="110"/>
      <c r="AP27" s="107">
        <v>1585</v>
      </c>
      <c r="AQ27" s="105">
        <v>1601</v>
      </c>
      <c r="AR27" s="105">
        <v>3186</v>
      </c>
      <c r="AS27" s="105">
        <v>1686</v>
      </c>
      <c r="AT27" s="105">
        <v>4872</v>
      </c>
      <c r="AU27" s="105">
        <v>1705</v>
      </c>
      <c r="AV27" s="106">
        <v>6577</v>
      </c>
      <c r="AW27" s="110"/>
      <c r="AX27" s="107">
        <v>1664</v>
      </c>
      <c r="AY27" s="105">
        <v>1605</v>
      </c>
      <c r="AZ27" s="105">
        <v>3269</v>
      </c>
      <c r="BA27" s="105">
        <v>1641</v>
      </c>
      <c r="BB27" s="105">
        <v>4910</v>
      </c>
      <c r="BC27" s="105">
        <v>1679</v>
      </c>
      <c r="BD27" s="106">
        <v>6589</v>
      </c>
      <c r="BE27" s="110"/>
      <c r="BF27" s="107">
        <v>1732</v>
      </c>
      <c r="BG27" s="105">
        <v>1653</v>
      </c>
      <c r="BH27" s="105">
        <v>3385</v>
      </c>
      <c r="BI27" s="105">
        <v>1590</v>
      </c>
      <c r="BJ27" s="105">
        <v>4975</v>
      </c>
      <c r="BK27" s="105">
        <v>1821</v>
      </c>
      <c r="BL27" s="106">
        <v>6796</v>
      </c>
      <c r="BM27" s="110"/>
      <c r="BN27" s="107">
        <v>0</v>
      </c>
      <c r="BO27" s="105">
        <v>0</v>
      </c>
      <c r="BP27" s="105">
        <v>0</v>
      </c>
      <c r="BQ27" s="105">
        <v>652</v>
      </c>
      <c r="BR27" s="105">
        <v>652</v>
      </c>
      <c r="BS27" s="105">
        <v>1868</v>
      </c>
      <c r="BT27" s="106">
        <v>2520</v>
      </c>
    </row>
    <row r="28" spans="1:72" ht="17.25" customHeight="1" outlineLevel="1" x14ac:dyDescent="0.4">
      <c r="A28" s="42" t="s">
        <v>21</v>
      </c>
      <c r="B28" s="111">
        <v>0</v>
      </c>
      <c r="C28" s="112">
        <v>38</v>
      </c>
      <c r="D28" s="112">
        <v>38</v>
      </c>
      <c r="E28" s="112">
        <v>43</v>
      </c>
      <c r="F28" s="112">
        <v>81</v>
      </c>
      <c r="G28" s="112">
        <v>0</v>
      </c>
      <c r="H28" s="113">
        <v>81</v>
      </c>
      <c r="I28" s="77"/>
      <c r="J28" s="111">
        <v>0</v>
      </c>
      <c r="K28" s="112">
        <v>0</v>
      </c>
      <c r="L28" s="112">
        <v>0</v>
      </c>
      <c r="M28" s="112">
        <v>0</v>
      </c>
      <c r="N28" s="112">
        <v>0</v>
      </c>
      <c r="O28" s="112">
        <v>28</v>
      </c>
      <c r="P28" s="113">
        <v>28</v>
      </c>
      <c r="Q28" s="110"/>
      <c r="R28" s="111">
        <v>0</v>
      </c>
      <c r="S28" s="112">
        <v>0</v>
      </c>
      <c r="T28" s="112">
        <v>0</v>
      </c>
      <c r="U28" s="112">
        <v>0</v>
      </c>
      <c r="V28" s="112">
        <v>0</v>
      </c>
      <c r="W28" s="112">
        <v>13</v>
      </c>
      <c r="X28" s="113">
        <v>13</v>
      </c>
      <c r="Y28" s="110"/>
      <c r="Z28" s="111">
        <v>0</v>
      </c>
      <c r="AA28" s="112">
        <v>0</v>
      </c>
      <c r="AB28" s="112">
        <v>0</v>
      </c>
      <c r="AC28" s="112">
        <v>0</v>
      </c>
      <c r="AD28" s="112">
        <v>0</v>
      </c>
      <c r="AE28" s="112">
        <v>22</v>
      </c>
      <c r="AF28" s="113">
        <v>22</v>
      </c>
      <c r="AG28" s="110"/>
      <c r="AH28" s="111">
        <v>-1160</v>
      </c>
      <c r="AI28" s="112">
        <v>-831</v>
      </c>
      <c r="AJ28" s="112">
        <v>-1991</v>
      </c>
      <c r="AK28" s="112">
        <v>-1183</v>
      </c>
      <c r="AL28" s="112">
        <v>-3174</v>
      </c>
      <c r="AM28" s="112">
        <v>-2565</v>
      </c>
      <c r="AN28" s="113">
        <v>-5739</v>
      </c>
      <c r="AO28" s="110"/>
      <c r="AP28" s="111">
        <v>404</v>
      </c>
      <c r="AQ28" s="112">
        <v>-182</v>
      </c>
      <c r="AR28" s="112">
        <v>222</v>
      </c>
      <c r="AS28" s="112">
        <v>-1160</v>
      </c>
      <c r="AT28" s="112">
        <v>-938</v>
      </c>
      <c r="AU28" s="112">
        <v>-2118</v>
      </c>
      <c r="AV28" s="113">
        <v>-3056</v>
      </c>
      <c r="AW28" s="110"/>
      <c r="AX28" s="111">
        <v>168</v>
      </c>
      <c r="AY28" s="112">
        <v>5</v>
      </c>
      <c r="AZ28" s="112">
        <v>173</v>
      </c>
      <c r="BA28" s="112">
        <v>-188</v>
      </c>
      <c r="BB28" s="112">
        <v>-15</v>
      </c>
      <c r="BC28" s="112">
        <v>-134</v>
      </c>
      <c r="BD28" s="113">
        <v>-149</v>
      </c>
      <c r="BE28" s="110"/>
      <c r="BF28" s="111">
        <v>709</v>
      </c>
      <c r="BG28" s="112">
        <v>-144</v>
      </c>
      <c r="BH28" s="112">
        <v>565</v>
      </c>
      <c r="BI28" s="112">
        <v>-540</v>
      </c>
      <c r="BJ28" s="112">
        <v>25</v>
      </c>
      <c r="BK28" s="112">
        <v>-639</v>
      </c>
      <c r="BL28" s="113">
        <v>-614</v>
      </c>
      <c r="BM28" s="110"/>
      <c r="BN28" s="111">
        <v>0</v>
      </c>
      <c r="BO28" s="112">
        <v>0</v>
      </c>
      <c r="BP28" s="112">
        <v>0</v>
      </c>
      <c r="BQ28" s="112">
        <v>16</v>
      </c>
      <c r="BR28" s="112">
        <v>16</v>
      </c>
      <c r="BS28" s="112">
        <v>-15</v>
      </c>
      <c r="BT28" s="113">
        <v>1</v>
      </c>
    </row>
    <row r="29" spans="1:72" s="100" customFormat="1" x14ac:dyDescent="0.25">
      <c r="A29" s="88" t="s">
        <v>24</v>
      </c>
      <c r="B29" s="108">
        <v>1171</v>
      </c>
      <c r="C29" s="103">
        <v>1031</v>
      </c>
      <c r="D29" s="103">
        <v>2202</v>
      </c>
      <c r="E29" s="103">
        <v>345</v>
      </c>
      <c r="F29" s="103">
        <v>2547</v>
      </c>
      <c r="G29" s="103">
        <v>0</v>
      </c>
      <c r="H29" s="104">
        <v>2547</v>
      </c>
      <c r="I29" s="89"/>
      <c r="J29" s="108">
        <v>565</v>
      </c>
      <c r="K29" s="103">
        <v>433</v>
      </c>
      <c r="L29" s="103">
        <v>998</v>
      </c>
      <c r="M29" s="103">
        <v>-176</v>
      </c>
      <c r="N29" s="103">
        <v>822</v>
      </c>
      <c r="O29" s="103">
        <v>663</v>
      </c>
      <c r="P29" s="104">
        <v>1485</v>
      </c>
      <c r="Q29" s="109"/>
      <c r="R29" s="108">
        <v>94</v>
      </c>
      <c r="S29" s="103">
        <v>-661</v>
      </c>
      <c r="T29" s="103">
        <v>-567</v>
      </c>
      <c r="U29" s="103">
        <v>-612</v>
      </c>
      <c r="V29" s="103">
        <v>-1179</v>
      </c>
      <c r="W29" s="103">
        <v>-501</v>
      </c>
      <c r="X29" s="104">
        <v>-1680</v>
      </c>
      <c r="Y29" s="109"/>
      <c r="Z29" s="108">
        <v>-177</v>
      </c>
      <c r="AA29" s="103">
        <v>-1195</v>
      </c>
      <c r="AB29" s="103">
        <v>-1372</v>
      </c>
      <c r="AC29" s="103">
        <v>-1041</v>
      </c>
      <c r="AD29" s="103">
        <v>-2413</v>
      </c>
      <c r="AE29" s="103">
        <v>-978</v>
      </c>
      <c r="AF29" s="104">
        <v>-3391</v>
      </c>
      <c r="AG29" s="109"/>
      <c r="AH29" s="108">
        <v>-7801</v>
      </c>
      <c r="AI29" s="103">
        <v>-1355</v>
      </c>
      <c r="AJ29" s="103">
        <v>-9156</v>
      </c>
      <c r="AK29" s="103">
        <v>-1930</v>
      </c>
      <c r="AL29" s="103">
        <v>-11086</v>
      </c>
      <c r="AM29" s="103">
        <v>-21134</v>
      </c>
      <c r="AN29" s="104">
        <v>-32220</v>
      </c>
      <c r="AO29" s="109"/>
      <c r="AP29" s="108">
        <v>660</v>
      </c>
      <c r="AQ29" s="103">
        <v>-298</v>
      </c>
      <c r="AR29" s="103">
        <v>362</v>
      </c>
      <c r="AS29" s="103">
        <v>-43274</v>
      </c>
      <c r="AT29" s="103">
        <v>-42912</v>
      </c>
      <c r="AU29" s="103">
        <v>2057</v>
      </c>
      <c r="AV29" s="104">
        <v>-40855</v>
      </c>
      <c r="AW29" s="109"/>
      <c r="AX29" s="108">
        <v>275</v>
      </c>
      <c r="AY29" s="103">
        <v>7</v>
      </c>
      <c r="AZ29" s="103">
        <v>282</v>
      </c>
      <c r="BA29" s="103">
        <v>-306</v>
      </c>
      <c r="BB29" s="103">
        <v>-24</v>
      </c>
      <c r="BC29" s="103">
        <v>-218</v>
      </c>
      <c r="BD29" s="104">
        <v>-242</v>
      </c>
      <c r="BE29" s="109"/>
      <c r="BF29" s="108">
        <v>1147</v>
      </c>
      <c r="BG29" s="103">
        <v>-234</v>
      </c>
      <c r="BH29" s="103">
        <v>913</v>
      </c>
      <c r="BI29" s="103">
        <v>-887</v>
      </c>
      <c r="BJ29" s="103">
        <v>26</v>
      </c>
      <c r="BK29" s="103">
        <v>-1278</v>
      </c>
      <c r="BL29" s="104">
        <v>-1252</v>
      </c>
      <c r="BM29" s="109"/>
      <c r="BN29" s="108">
        <v>0</v>
      </c>
      <c r="BO29" s="103">
        <v>0</v>
      </c>
      <c r="BP29" s="103">
        <v>0</v>
      </c>
      <c r="BQ29" s="103">
        <v>-25</v>
      </c>
      <c r="BR29" s="103">
        <v>-25</v>
      </c>
      <c r="BS29" s="103">
        <v>78</v>
      </c>
      <c r="BT29" s="104">
        <v>53</v>
      </c>
    </row>
    <row r="30" spans="1:72" ht="15" customHeight="1" outlineLevel="1" x14ac:dyDescent="0.25">
      <c r="A30" s="114" t="s">
        <v>54</v>
      </c>
      <c r="B30" s="107"/>
      <c r="C30" s="105"/>
      <c r="D30" s="105"/>
      <c r="E30" s="105"/>
      <c r="F30" s="105"/>
      <c r="G30" s="105"/>
      <c r="H30" s="106"/>
      <c r="I30" s="115"/>
      <c r="J30" s="107"/>
      <c r="K30" s="105"/>
      <c r="L30" s="116"/>
      <c r="M30" s="105"/>
      <c r="N30" s="105"/>
      <c r="O30" s="105"/>
      <c r="P30" s="117"/>
      <c r="Q30" s="77"/>
      <c r="R30" s="107"/>
      <c r="S30" s="105"/>
      <c r="T30" s="116"/>
      <c r="U30" s="105"/>
      <c r="V30" s="105"/>
      <c r="W30" s="105"/>
      <c r="X30" s="117"/>
      <c r="Y30" s="77"/>
      <c r="Z30" s="107"/>
      <c r="AA30" s="105"/>
      <c r="AB30" s="116"/>
      <c r="AC30" s="105"/>
      <c r="AD30" s="105"/>
      <c r="AE30" s="105"/>
      <c r="AF30" s="117"/>
      <c r="AG30" s="110"/>
      <c r="AH30" s="107"/>
      <c r="AI30" s="105"/>
      <c r="AJ30" s="116"/>
      <c r="AK30" s="105"/>
      <c r="AL30" s="105"/>
      <c r="AM30" s="105"/>
      <c r="AN30" s="117"/>
      <c r="AO30" s="110"/>
      <c r="AP30" s="107"/>
      <c r="AQ30" s="105"/>
      <c r="AR30" s="116"/>
      <c r="AS30" s="105"/>
      <c r="AT30" s="105"/>
      <c r="AU30" s="105"/>
      <c r="AV30" s="117"/>
      <c r="AW30" s="110"/>
      <c r="AX30" s="107"/>
      <c r="AY30" s="105"/>
      <c r="AZ30" s="116"/>
      <c r="BA30" s="105"/>
      <c r="BB30" s="105"/>
      <c r="BC30" s="105"/>
      <c r="BD30" s="117"/>
      <c r="BE30" s="110"/>
      <c r="BF30" s="107"/>
      <c r="BG30" s="105"/>
      <c r="BH30" s="116"/>
      <c r="BI30" s="105"/>
      <c r="BJ30" s="105"/>
      <c r="BK30" s="105"/>
      <c r="BL30" s="117"/>
      <c r="BM30" s="110"/>
      <c r="BN30" s="107"/>
      <c r="BO30" s="105"/>
      <c r="BP30" s="116"/>
      <c r="BQ30" s="105"/>
      <c r="BR30" s="105"/>
      <c r="BS30" s="105"/>
      <c r="BT30" s="117"/>
    </row>
    <row r="31" spans="1:72" ht="15" customHeight="1" outlineLevel="1" x14ac:dyDescent="0.25">
      <c r="A31" s="42" t="s">
        <v>21</v>
      </c>
      <c r="B31" s="107">
        <v>0</v>
      </c>
      <c r="C31" s="105">
        <v>38</v>
      </c>
      <c r="D31" s="105">
        <v>38</v>
      </c>
      <c r="E31" s="105">
        <v>0</v>
      </c>
      <c r="F31" s="105">
        <v>0</v>
      </c>
      <c r="G31" s="105">
        <v>0</v>
      </c>
      <c r="H31" s="106">
        <v>0</v>
      </c>
      <c r="I31" s="77"/>
      <c r="J31" s="107">
        <v>0</v>
      </c>
      <c r="K31" s="105">
        <v>0</v>
      </c>
      <c r="L31" s="105">
        <v>0</v>
      </c>
      <c r="M31" s="105">
        <v>0</v>
      </c>
      <c r="N31" s="105">
        <v>0</v>
      </c>
      <c r="O31" s="105">
        <v>28</v>
      </c>
      <c r="P31" s="106">
        <v>28</v>
      </c>
      <c r="Q31" s="110"/>
      <c r="R31" s="107">
        <v>0</v>
      </c>
      <c r="S31" s="105">
        <v>0</v>
      </c>
      <c r="T31" s="105">
        <v>0</v>
      </c>
      <c r="U31" s="105">
        <v>0</v>
      </c>
      <c r="V31" s="105">
        <v>0</v>
      </c>
      <c r="W31" s="105">
        <v>13</v>
      </c>
      <c r="X31" s="106">
        <v>13</v>
      </c>
      <c r="Y31" s="110"/>
      <c r="Z31" s="107">
        <v>0</v>
      </c>
      <c r="AA31" s="105">
        <v>0</v>
      </c>
      <c r="AB31" s="105">
        <v>0</v>
      </c>
      <c r="AC31" s="105">
        <v>0</v>
      </c>
      <c r="AD31" s="105">
        <v>0</v>
      </c>
      <c r="AE31" s="105">
        <v>23</v>
      </c>
      <c r="AF31" s="106">
        <v>23</v>
      </c>
      <c r="AG31" s="110"/>
      <c r="AH31" s="107">
        <v>-1160</v>
      </c>
      <c r="AI31" s="105">
        <v>-831</v>
      </c>
      <c r="AJ31" s="105">
        <v>-1991</v>
      </c>
      <c r="AK31" s="105">
        <v>-1183</v>
      </c>
      <c r="AL31" s="105">
        <v>-3174</v>
      </c>
      <c r="AM31" s="105">
        <v>-2565</v>
      </c>
      <c r="AN31" s="106">
        <v>-5739</v>
      </c>
      <c r="AO31" s="110"/>
      <c r="AP31" s="107">
        <v>404</v>
      </c>
      <c r="AQ31" s="105">
        <v>-182</v>
      </c>
      <c r="AR31" s="105">
        <v>222</v>
      </c>
      <c r="AS31" s="105">
        <v>-1160</v>
      </c>
      <c r="AT31" s="105">
        <v>-938</v>
      </c>
      <c r="AU31" s="105">
        <v>-2118</v>
      </c>
      <c r="AV31" s="106">
        <v>-3056</v>
      </c>
      <c r="AW31" s="110"/>
      <c r="AX31" s="107">
        <v>168</v>
      </c>
      <c r="AY31" s="105">
        <v>5</v>
      </c>
      <c r="AZ31" s="105">
        <v>173</v>
      </c>
      <c r="BA31" s="105">
        <v>-188</v>
      </c>
      <c r="BB31" s="105">
        <v>-15</v>
      </c>
      <c r="BC31" s="105">
        <v>-134</v>
      </c>
      <c r="BD31" s="106">
        <v>-149</v>
      </c>
      <c r="BE31" s="110"/>
      <c r="BF31" s="107">
        <v>709</v>
      </c>
      <c r="BG31" s="105">
        <v>-144</v>
      </c>
      <c r="BH31" s="105">
        <v>565</v>
      </c>
      <c r="BI31" s="105">
        <v>-540</v>
      </c>
      <c r="BJ31" s="105">
        <v>25</v>
      </c>
      <c r="BK31" s="105">
        <v>-639</v>
      </c>
      <c r="BL31" s="106">
        <v>-614</v>
      </c>
      <c r="BM31" s="110"/>
      <c r="BN31" s="107">
        <v>0</v>
      </c>
      <c r="BO31" s="105">
        <v>0</v>
      </c>
      <c r="BP31" s="105">
        <v>0</v>
      </c>
      <c r="BQ31" s="105">
        <v>16</v>
      </c>
      <c r="BR31" s="105">
        <v>16</v>
      </c>
      <c r="BS31" s="105">
        <v>-15</v>
      </c>
      <c r="BT31" s="106">
        <v>1</v>
      </c>
    </row>
    <row r="32" spans="1:72" ht="15" customHeight="1" outlineLevel="1" x14ac:dyDescent="0.25">
      <c r="A32" s="42" t="s">
        <v>19</v>
      </c>
      <c r="B32" s="107">
        <v>0</v>
      </c>
      <c r="C32" s="105">
        <v>0</v>
      </c>
      <c r="D32" s="105">
        <v>0</v>
      </c>
      <c r="E32" s="105">
        <v>0</v>
      </c>
      <c r="F32" s="105">
        <v>0</v>
      </c>
      <c r="G32" s="105">
        <v>0</v>
      </c>
      <c r="H32" s="106">
        <v>0</v>
      </c>
      <c r="I32" s="77"/>
      <c r="J32" s="107">
        <v>0</v>
      </c>
      <c r="K32" s="105">
        <v>0</v>
      </c>
      <c r="L32" s="105">
        <v>0</v>
      </c>
      <c r="M32" s="105">
        <v>0</v>
      </c>
      <c r="N32" s="105">
        <v>0</v>
      </c>
      <c r="O32" s="105">
        <v>0</v>
      </c>
      <c r="P32" s="106">
        <v>0</v>
      </c>
      <c r="Q32" s="110"/>
      <c r="R32" s="107">
        <v>4</v>
      </c>
      <c r="S32" s="105">
        <v>-4</v>
      </c>
      <c r="T32" s="105">
        <v>0</v>
      </c>
      <c r="U32" s="105">
        <v>0</v>
      </c>
      <c r="V32" s="105">
        <v>0</v>
      </c>
      <c r="W32" s="105">
        <v>0</v>
      </c>
      <c r="X32" s="106">
        <v>0</v>
      </c>
      <c r="Y32" s="110"/>
      <c r="Z32" s="107">
        <v>4</v>
      </c>
      <c r="AA32" s="105">
        <v>2</v>
      </c>
      <c r="AB32" s="105">
        <v>6</v>
      </c>
      <c r="AC32" s="105">
        <v>0</v>
      </c>
      <c r="AD32" s="105">
        <v>6</v>
      </c>
      <c r="AE32" s="105">
        <v>-1</v>
      </c>
      <c r="AF32" s="106">
        <v>5</v>
      </c>
      <c r="AG32" s="110"/>
      <c r="AH32" s="107">
        <v>7</v>
      </c>
      <c r="AI32" s="105">
        <v>16</v>
      </c>
      <c r="AJ32" s="105">
        <v>23</v>
      </c>
      <c r="AK32" s="105">
        <v>-5</v>
      </c>
      <c r="AL32" s="105">
        <v>18</v>
      </c>
      <c r="AM32" s="105">
        <v>5</v>
      </c>
      <c r="AN32" s="106">
        <v>23</v>
      </c>
      <c r="AO32" s="110"/>
      <c r="AP32" s="107">
        <v>4</v>
      </c>
      <c r="AQ32" s="105">
        <v>8</v>
      </c>
      <c r="AR32" s="105">
        <v>12</v>
      </c>
      <c r="AS32" s="105">
        <v>9</v>
      </c>
      <c r="AT32" s="105">
        <v>21</v>
      </c>
      <c r="AU32" s="105">
        <v>6</v>
      </c>
      <c r="AV32" s="106">
        <v>27</v>
      </c>
      <c r="AW32" s="110"/>
      <c r="AX32" s="107">
        <v>24</v>
      </c>
      <c r="AY32" s="105">
        <v>10</v>
      </c>
      <c r="AZ32" s="105">
        <v>34</v>
      </c>
      <c r="BA32" s="105">
        <v>10</v>
      </c>
      <c r="BB32" s="105">
        <v>44</v>
      </c>
      <c r="BC32" s="105">
        <v>8</v>
      </c>
      <c r="BD32" s="106">
        <v>52</v>
      </c>
      <c r="BE32" s="110"/>
      <c r="BF32" s="107">
        <v>38</v>
      </c>
      <c r="BG32" s="105">
        <v>-38</v>
      </c>
      <c r="BH32" s="105">
        <v>0</v>
      </c>
      <c r="BI32" s="105">
        <v>1</v>
      </c>
      <c r="BJ32" s="105">
        <v>1</v>
      </c>
      <c r="BK32" s="105">
        <v>-1</v>
      </c>
      <c r="BL32" s="106">
        <v>0</v>
      </c>
      <c r="BM32" s="110"/>
      <c r="BN32" s="107">
        <v>0</v>
      </c>
      <c r="BO32" s="105">
        <v>0</v>
      </c>
      <c r="BP32" s="105">
        <v>0</v>
      </c>
      <c r="BQ32" s="105">
        <v>0</v>
      </c>
      <c r="BR32" s="105">
        <v>0</v>
      </c>
      <c r="BS32" s="105">
        <v>0</v>
      </c>
      <c r="BT32" s="106">
        <v>0</v>
      </c>
    </row>
    <row r="33" spans="1:72" ht="15" customHeight="1" outlineLevel="1" x14ac:dyDescent="0.25">
      <c r="A33" s="42" t="s">
        <v>20</v>
      </c>
      <c r="B33" s="107">
        <v>510</v>
      </c>
      <c r="C33" s="105">
        <v>483</v>
      </c>
      <c r="D33" s="105">
        <v>993</v>
      </c>
      <c r="E33" s="105">
        <v>0</v>
      </c>
      <c r="F33" s="105">
        <v>0</v>
      </c>
      <c r="G33" s="105">
        <v>0</v>
      </c>
      <c r="H33" s="106">
        <v>0</v>
      </c>
      <c r="I33" s="77"/>
      <c r="J33" s="107">
        <v>546</v>
      </c>
      <c r="K33" s="105">
        <v>577</v>
      </c>
      <c r="L33" s="105">
        <v>1123</v>
      </c>
      <c r="M33" s="105">
        <v>571</v>
      </c>
      <c r="N33" s="105">
        <v>1694</v>
      </c>
      <c r="O33" s="105">
        <v>528</v>
      </c>
      <c r="P33" s="106">
        <v>2222</v>
      </c>
      <c r="Q33" s="110"/>
      <c r="R33" s="107">
        <v>449</v>
      </c>
      <c r="S33" s="105">
        <v>418</v>
      </c>
      <c r="T33" s="105">
        <v>867</v>
      </c>
      <c r="U33" s="105">
        <v>420</v>
      </c>
      <c r="V33" s="105">
        <v>1287</v>
      </c>
      <c r="W33" s="105">
        <v>468</v>
      </c>
      <c r="X33" s="106">
        <v>1755</v>
      </c>
      <c r="Y33" s="110"/>
      <c r="Z33" s="107">
        <v>429</v>
      </c>
      <c r="AA33" s="105">
        <v>366</v>
      </c>
      <c r="AB33" s="105">
        <v>795</v>
      </c>
      <c r="AC33" s="105">
        <v>424</v>
      </c>
      <c r="AD33" s="105">
        <v>1219</v>
      </c>
      <c r="AE33" s="105">
        <v>469</v>
      </c>
      <c r="AF33" s="106">
        <v>1688</v>
      </c>
      <c r="AG33" s="110"/>
      <c r="AH33" s="107">
        <v>604</v>
      </c>
      <c r="AI33" s="105">
        <v>562</v>
      </c>
      <c r="AJ33" s="105">
        <v>1166</v>
      </c>
      <c r="AK33" s="105">
        <v>592</v>
      </c>
      <c r="AL33" s="105">
        <v>1758</v>
      </c>
      <c r="AM33" s="105">
        <v>489</v>
      </c>
      <c r="AN33" s="106">
        <v>2247</v>
      </c>
      <c r="AO33" s="110"/>
      <c r="AP33" s="107">
        <v>1585</v>
      </c>
      <c r="AQ33" s="105">
        <v>1601</v>
      </c>
      <c r="AR33" s="105">
        <v>3186</v>
      </c>
      <c r="AS33" s="105">
        <v>1686</v>
      </c>
      <c r="AT33" s="105">
        <v>4872</v>
      </c>
      <c r="AU33" s="105">
        <v>1705</v>
      </c>
      <c r="AV33" s="106">
        <v>6577</v>
      </c>
      <c r="AW33" s="110"/>
      <c r="AX33" s="107">
        <v>1664</v>
      </c>
      <c r="AY33" s="105">
        <v>1605</v>
      </c>
      <c r="AZ33" s="105">
        <v>3269</v>
      </c>
      <c r="BA33" s="105">
        <v>1641</v>
      </c>
      <c r="BB33" s="105">
        <v>4910</v>
      </c>
      <c r="BC33" s="105">
        <v>1679</v>
      </c>
      <c r="BD33" s="106">
        <v>6589</v>
      </c>
      <c r="BE33" s="110"/>
      <c r="BF33" s="107">
        <v>1732</v>
      </c>
      <c r="BG33" s="105">
        <v>1653</v>
      </c>
      <c r="BH33" s="105">
        <v>3385</v>
      </c>
      <c r="BI33" s="105">
        <v>1588</v>
      </c>
      <c r="BJ33" s="105">
        <v>4973</v>
      </c>
      <c r="BK33" s="105">
        <v>1823</v>
      </c>
      <c r="BL33" s="106">
        <v>6796</v>
      </c>
      <c r="BM33" s="110"/>
      <c r="BN33" s="107">
        <v>0</v>
      </c>
      <c r="BO33" s="105">
        <v>0</v>
      </c>
      <c r="BP33" s="105">
        <v>0</v>
      </c>
      <c r="BQ33" s="105">
        <v>652</v>
      </c>
      <c r="BR33" s="105">
        <v>652</v>
      </c>
      <c r="BS33" s="105">
        <v>1868</v>
      </c>
      <c r="BT33" s="106">
        <v>2520</v>
      </c>
    </row>
    <row r="34" spans="1:72" ht="15" customHeight="1" outlineLevel="1" x14ac:dyDescent="0.25">
      <c r="A34" s="42" t="s">
        <v>55</v>
      </c>
      <c r="B34" s="107">
        <v>56</v>
      </c>
      <c r="C34" s="105">
        <v>59</v>
      </c>
      <c r="D34" s="105">
        <v>115</v>
      </c>
      <c r="E34" s="105">
        <v>0</v>
      </c>
      <c r="F34" s="105">
        <v>0</v>
      </c>
      <c r="G34" s="105">
        <v>0</v>
      </c>
      <c r="H34" s="106">
        <v>0</v>
      </c>
      <c r="I34" s="77"/>
      <c r="J34" s="107">
        <v>60</v>
      </c>
      <c r="K34" s="105">
        <v>41</v>
      </c>
      <c r="L34" s="116">
        <v>101</v>
      </c>
      <c r="M34" s="105">
        <v>51</v>
      </c>
      <c r="N34" s="105">
        <v>152</v>
      </c>
      <c r="O34" s="105">
        <v>54</v>
      </c>
      <c r="P34" s="117">
        <v>206</v>
      </c>
      <c r="Q34" s="110"/>
      <c r="R34" s="107">
        <v>42</v>
      </c>
      <c r="S34" s="105">
        <v>47</v>
      </c>
      <c r="T34" s="116">
        <v>89</v>
      </c>
      <c r="U34" s="105">
        <v>49</v>
      </c>
      <c r="V34" s="105">
        <v>138</v>
      </c>
      <c r="W34" s="105">
        <v>48</v>
      </c>
      <c r="X34" s="117">
        <v>186</v>
      </c>
      <c r="Y34" s="110"/>
      <c r="Z34" s="107">
        <v>84</v>
      </c>
      <c r="AA34" s="105">
        <v>-84</v>
      </c>
      <c r="AB34" s="116">
        <v>0</v>
      </c>
      <c r="AC34" s="105">
        <v>112</v>
      </c>
      <c r="AD34" s="105">
        <v>112</v>
      </c>
      <c r="AE34" s="105">
        <v>79</v>
      </c>
      <c r="AF34" s="117">
        <v>191</v>
      </c>
      <c r="AG34" s="110"/>
      <c r="AH34" s="107">
        <v>751</v>
      </c>
      <c r="AI34" s="105">
        <v>785</v>
      </c>
      <c r="AJ34" s="116">
        <v>1536</v>
      </c>
      <c r="AK34" s="105">
        <v>715</v>
      </c>
      <c r="AL34" s="105">
        <v>2251</v>
      </c>
      <c r="AM34" s="105">
        <v>681</v>
      </c>
      <c r="AN34" s="117">
        <v>2932</v>
      </c>
      <c r="AO34" s="110"/>
      <c r="AP34" s="107">
        <v>776</v>
      </c>
      <c r="AQ34" s="105">
        <v>788</v>
      </c>
      <c r="AR34" s="116">
        <v>1564</v>
      </c>
      <c r="AS34" s="105">
        <v>781</v>
      </c>
      <c r="AT34" s="105">
        <v>2345</v>
      </c>
      <c r="AU34" s="105">
        <v>737</v>
      </c>
      <c r="AV34" s="117">
        <v>3082</v>
      </c>
      <c r="AW34" s="110"/>
      <c r="AX34" s="107">
        <v>989</v>
      </c>
      <c r="AY34" s="105">
        <v>971</v>
      </c>
      <c r="AZ34" s="116">
        <v>1960</v>
      </c>
      <c r="BA34" s="105">
        <v>914</v>
      </c>
      <c r="BB34" s="105">
        <v>2874</v>
      </c>
      <c r="BC34" s="105">
        <v>781</v>
      </c>
      <c r="BD34" s="117">
        <v>3655</v>
      </c>
      <c r="BE34" s="110"/>
      <c r="BF34" s="107">
        <v>910</v>
      </c>
      <c r="BG34" s="105">
        <v>951</v>
      </c>
      <c r="BH34" s="116">
        <v>1861</v>
      </c>
      <c r="BI34" s="105">
        <v>928</v>
      </c>
      <c r="BJ34" s="105">
        <v>2789</v>
      </c>
      <c r="BK34" s="105">
        <v>915</v>
      </c>
      <c r="BL34" s="117">
        <v>3704</v>
      </c>
      <c r="BM34" s="110"/>
      <c r="BN34" s="107">
        <v>0</v>
      </c>
      <c r="BO34" s="105">
        <v>0</v>
      </c>
      <c r="BP34" s="105">
        <v>0</v>
      </c>
      <c r="BQ34" s="105">
        <v>468</v>
      </c>
      <c r="BR34" s="105">
        <v>468</v>
      </c>
      <c r="BS34" s="105">
        <v>692</v>
      </c>
      <c r="BT34" s="117">
        <v>1160</v>
      </c>
    </row>
    <row r="35" spans="1:72" s="158" customFormat="1" ht="15" customHeight="1" outlineLevel="1" x14ac:dyDescent="0.25">
      <c r="A35" s="42" t="s">
        <v>56</v>
      </c>
      <c r="B35" s="154">
        <v>0</v>
      </c>
      <c r="C35" s="155">
        <v>0</v>
      </c>
      <c r="D35" s="155">
        <v>0</v>
      </c>
      <c r="E35" s="105">
        <v>0</v>
      </c>
      <c r="F35" s="105">
        <v>0</v>
      </c>
      <c r="G35" s="105">
        <v>0</v>
      </c>
      <c r="H35" s="106">
        <v>0</v>
      </c>
      <c r="I35" s="115"/>
      <c r="J35" s="154">
        <v>8</v>
      </c>
      <c r="K35" s="155">
        <v>8</v>
      </c>
      <c r="L35" s="190">
        <v>16</v>
      </c>
      <c r="M35" s="155">
        <v>6</v>
      </c>
      <c r="N35" s="155">
        <v>22</v>
      </c>
      <c r="O35" s="155">
        <v>0</v>
      </c>
      <c r="P35" s="191">
        <v>22</v>
      </c>
      <c r="Q35" s="157"/>
      <c r="R35" s="154">
        <v>36</v>
      </c>
      <c r="S35" s="155">
        <v>35</v>
      </c>
      <c r="T35" s="190">
        <v>71</v>
      </c>
      <c r="U35" s="155">
        <v>26</v>
      </c>
      <c r="V35" s="155">
        <v>97</v>
      </c>
      <c r="W35" s="155">
        <v>8</v>
      </c>
      <c r="X35" s="191">
        <v>105</v>
      </c>
      <c r="Y35" s="157"/>
      <c r="Z35" s="154">
        <v>37</v>
      </c>
      <c r="AA35" s="155">
        <v>36</v>
      </c>
      <c r="AB35" s="190">
        <v>73</v>
      </c>
      <c r="AC35" s="155">
        <v>36</v>
      </c>
      <c r="AD35" s="155">
        <v>109</v>
      </c>
      <c r="AE35" s="155">
        <v>36</v>
      </c>
      <c r="AF35" s="191">
        <v>145</v>
      </c>
      <c r="AG35" s="157"/>
      <c r="AH35" s="154">
        <v>364</v>
      </c>
      <c r="AI35" s="155">
        <v>11</v>
      </c>
      <c r="AJ35" s="190">
        <v>375</v>
      </c>
      <c r="AK35" s="155">
        <v>37</v>
      </c>
      <c r="AL35" s="155">
        <v>412</v>
      </c>
      <c r="AM35" s="155">
        <v>37</v>
      </c>
      <c r="AN35" s="191">
        <v>449</v>
      </c>
      <c r="AO35" s="157"/>
      <c r="AP35" s="154">
        <v>66</v>
      </c>
      <c r="AQ35" s="155">
        <v>57</v>
      </c>
      <c r="AR35" s="190">
        <v>123</v>
      </c>
      <c r="AS35" s="155">
        <v>65</v>
      </c>
      <c r="AT35" s="155">
        <v>188</v>
      </c>
      <c r="AU35" s="155">
        <v>62</v>
      </c>
      <c r="AV35" s="191">
        <v>250</v>
      </c>
      <c r="AW35" s="157"/>
      <c r="AX35" s="154">
        <v>72</v>
      </c>
      <c r="AY35" s="155">
        <v>69</v>
      </c>
      <c r="AZ35" s="190">
        <v>141</v>
      </c>
      <c r="BA35" s="155">
        <v>68</v>
      </c>
      <c r="BB35" s="155">
        <v>209</v>
      </c>
      <c r="BC35" s="155">
        <v>316</v>
      </c>
      <c r="BD35" s="191">
        <v>525</v>
      </c>
      <c r="BE35" s="157"/>
      <c r="BF35" s="154">
        <v>83</v>
      </c>
      <c r="BG35" s="155">
        <v>78</v>
      </c>
      <c r="BH35" s="190">
        <v>161</v>
      </c>
      <c r="BI35" s="155">
        <v>75</v>
      </c>
      <c r="BJ35" s="155">
        <v>236</v>
      </c>
      <c r="BK35" s="155">
        <v>72</v>
      </c>
      <c r="BL35" s="191">
        <v>308</v>
      </c>
      <c r="BM35" s="157"/>
      <c r="BN35" s="154">
        <v>0</v>
      </c>
      <c r="BO35" s="155">
        <v>0</v>
      </c>
      <c r="BP35" s="190">
        <v>0</v>
      </c>
      <c r="BQ35" s="155">
        <v>8</v>
      </c>
      <c r="BR35" s="155">
        <v>8</v>
      </c>
      <c r="BS35" s="155">
        <v>120</v>
      </c>
      <c r="BT35" s="191">
        <v>128</v>
      </c>
    </row>
    <row r="36" spans="1:72" s="100" customFormat="1" x14ac:dyDescent="0.25">
      <c r="A36" s="88" t="s">
        <v>57</v>
      </c>
      <c r="B36" s="108">
        <v>1737</v>
      </c>
      <c r="C36" s="103">
        <v>1611</v>
      </c>
      <c r="D36" s="103">
        <v>3348</v>
      </c>
      <c r="E36" s="105">
        <v>0</v>
      </c>
      <c r="F36" s="105">
        <v>0</v>
      </c>
      <c r="G36" s="105">
        <v>0</v>
      </c>
      <c r="H36" s="106">
        <v>0</v>
      </c>
      <c r="I36" s="89"/>
      <c r="J36" s="108">
        <v>1179</v>
      </c>
      <c r="K36" s="103">
        <v>1059</v>
      </c>
      <c r="L36" s="103">
        <v>2238</v>
      </c>
      <c r="M36" s="103">
        <v>452</v>
      </c>
      <c r="N36" s="103">
        <v>2690</v>
      </c>
      <c r="O36" s="103">
        <v>1273</v>
      </c>
      <c r="P36" s="104">
        <v>3963</v>
      </c>
      <c r="Q36" s="109"/>
      <c r="R36" s="108">
        <v>625</v>
      </c>
      <c r="S36" s="103">
        <v>-165</v>
      </c>
      <c r="T36" s="103">
        <v>460</v>
      </c>
      <c r="U36" s="103">
        <v>-117</v>
      </c>
      <c r="V36" s="103">
        <v>343</v>
      </c>
      <c r="W36" s="103">
        <v>36</v>
      </c>
      <c r="X36" s="104">
        <v>379</v>
      </c>
      <c r="Y36" s="109"/>
      <c r="Z36" s="108">
        <v>377</v>
      </c>
      <c r="AA36" s="103">
        <v>-875</v>
      </c>
      <c r="AB36" s="103">
        <v>-498</v>
      </c>
      <c r="AC36" s="103">
        <v>-469</v>
      </c>
      <c r="AD36" s="103">
        <v>-967</v>
      </c>
      <c r="AE36" s="103">
        <v>-372</v>
      </c>
      <c r="AF36" s="104">
        <v>-1339</v>
      </c>
      <c r="AG36" s="109"/>
      <c r="AH36" s="108">
        <v>-7235</v>
      </c>
      <c r="AI36" s="103">
        <v>-812</v>
      </c>
      <c r="AJ36" s="103">
        <v>-8047</v>
      </c>
      <c r="AK36" s="103">
        <v>-1774</v>
      </c>
      <c r="AL36" s="103">
        <v>-9821</v>
      </c>
      <c r="AM36" s="103">
        <v>-22487</v>
      </c>
      <c r="AN36" s="104">
        <v>-32308</v>
      </c>
      <c r="AO36" s="109"/>
      <c r="AP36" s="108">
        <v>3495</v>
      </c>
      <c r="AQ36" s="103">
        <v>1974</v>
      </c>
      <c r="AR36" s="103">
        <v>5469</v>
      </c>
      <c r="AS36" s="103">
        <v>-41893</v>
      </c>
      <c r="AT36" s="103">
        <v>-36424</v>
      </c>
      <c r="AU36" s="103">
        <v>2449</v>
      </c>
      <c r="AV36" s="104">
        <v>-33975</v>
      </c>
      <c r="AW36" s="109"/>
      <c r="AX36" s="108">
        <v>3192</v>
      </c>
      <c r="AY36" s="103">
        <v>2667</v>
      </c>
      <c r="AZ36" s="103">
        <v>5859</v>
      </c>
      <c r="BA36" s="103">
        <v>2139</v>
      </c>
      <c r="BB36" s="103">
        <v>7998</v>
      </c>
      <c r="BC36" s="103">
        <v>2432</v>
      </c>
      <c r="BD36" s="104">
        <v>10430</v>
      </c>
      <c r="BE36" s="109"/>
      <c r="BF36" s="108">
        <v>4619</v>
      </c>
      <c r="BG36" s="103">
        <v>2266</v>
      </c>
      <c r="BH36" s="103">
        <v>6885</v>
      </c>
      <c r="BI36" s="103">
        <v>1165</v>
      </c>
      <c r="BJ36" s="103">
        <v>8050</v>
      </c>
      <c r="BK36" s="103">
        <v>892</v>
      </c>
      <c r="BL36" s="104">
        <v>8942</v>
      </c>
      <c r="BM36" s="109"/>
      <c r="BN36" s="108">
        <v>0</v>
      </c>
      <c r="BO36" s="103">
        <v>0</v>
      </c>
      <c r="BP36" s="103">
        <v>0</v>
      </c>
      <c r="BQ36" s="103">
        <v>1119</v>
      </c>
      <c r="BR36" s="103">
        <v>1119</v>
      </c>
      <c r="BS36" s="103">
        <v>2743</v>
      </c>
      <c r="BT36" s="104">
        <v>3862</v>
      </c>
    </row>
    <row r="37" spans="1:72" ht="15" customHeight="1" outlineLevel="1" x14ac:dyDescent="0.25">
      <c r="A37" s="42" t="s">
        <v>58</v>
      </c>
      <c r="B37" s="107">
        <v>0</v>
      </c>
      <c r="C37" s="105">
        <v>0</v>
      </c>
      <c r="D37" s="105">
        <v>0</v>
      </c>
      <c r="E37" s="105">
        <v>0</v>
      </c>
      <c r="F37" s="105">
        <v>0</v>
      </c>
      <c r="G37" s="105">
        <v>0</v>
      </c>
      <c r="H37" s="106">
        <v>0</v>
      </c>
      <c r="I37" s="77"/>
      <c r="J37" s="107">
        <v>0</v>
      </c>
      <c r="K37" s="105">
        <v>0</v>
      </c>
      <c r="L37" s="116">
        <v>0</v>
      </c>
      <c r="M37" s="105">
        <v>0</v>
      </c>
      <c r="N37" s="105">
        <v>0</v>
      </c>
      <c r="O37" s="105">
        <v>0</v>
      </c>
      <c r="P37" s="117">
        <v>0</v>
      </c>
      <c r="Q37" s="110"/>
      <c r="R37" s="107">
        <v>-6</v>
      </c>
      <c r="S37" s="105">
        <v>6</v>
      </c>
      <c r="T37" s="116">
        <v>0</v>
      </c>
      <c r="U37" s="105">
        <v>-19</v>
      </c>
      <c r="V37" s="105">
        <v>-19</v>
      </c>
      <c r="W37" s="105">
        <v>19</v>
      </c>
      <c r="X37" s="117">
        <v>0</v>
      </c>
      <c r="Y37" s="110"/>
      <c r="Z37" s="107">
        <v>-4</v>
      </c>
      <c r="AA37" s="105">
        <v>70</v>
      </c>
      <c r="AB37" s="116">
        <v>66</v>
      </c>
      <c r="AC37" s="105">
        <v>-18</v>
      </c>
      <c r="AD37" s="105">
        <v>48</v>
      </c>
      <c r="AE37" s="105">
        <v>-37</v>
      </c>
      <c r="AF37" s="117">
        <v>11</v>
      </c>
      <c r="AG37" s="110"/>
      <c r="AH37" s="107">
        <v>-13</v>
      </c>
      <c r="AI37" s="105">
        <v>1</v>
      </c>
      <c r="AJ37" s="116">
        <v>-12</v>
      </c>
      <c r="AK37" s="105">
        <v>0</v>
      </c>
      <c r="AL37" s="105">
        <v>-12</v>
      </c>
      <c r="AM37" s="105">
        <v>14</v>
      </c>
      <c r="AN37" s="117">
        <v>2</v>
      </c>
      <c r="AO37" s="110"/>
      <c r="AP37" s="107">
        <v>-3</v>
      </c>
      <c r="AQ37" s="105">
        <v>-1</v>
      </c>
      <c r="AR37" s="116">
        <v>-4</v>
      </c>
      <c r="AS37" s="105">
        <v>-21</v>
      </c>
      <c r="AT37" s="105">
        <v>-25</v>
      </c>
      <c r="AU37" s="105">
        <v>-3</v>
      </c>
      <c r="AV37" s="117">
        <v>-28</v>
      </c>
      <c r="AW37" s="110"/>
      <c r="AX37" s="107">
        <v>0</v>
      </c>
      <c r="AY37" s="105">
        <v>10</v>
      </c>
      <c r="AZ37" s="116">
        <v>10</v>
      </c>
      <c r="BA37" s="105">
        <v>-3</v>
      </c>
      <c r="BB37" s="105">
        <v>7</v>
      </c>
      <c r="BC37" s="105">
        <v>-295</v>
      </c>
      <c r="BD37" s="117">
        <v>-288</v>
      </c>
      <c r="BE37" s="110"/>
      <c r="BF37" s="107">
        <v>0</v>
      </c>
      <c r="BG37" s="105">
        <v>-65</v>
      </c>
      <c r="BH37" s="116">
        <v>-65</v>
      </c>
      <c r="BI37" s="105">
        <v>0</v>
      </c>
      <c r="BJ37" s="105">
        <v>-65</v>
      </c>
      <c r="BK37" s="105">
        <v>-7</v>
      </c>
      <c r="BL37" s="117">
        <v>-72</v>
      </c>
      <c r="BM37" s="110"/>
      <c r="BN37" s="107">
        <v>0</v>
      </c>
      <c r="BO37" s="105">
        <v>0</v>
      </c>
      <c r="BP37" s="116">
        <v>0</v>
      </c>
      <c r="BQ37" s="105">
        <v>0</v>
      </c>
      <c r="BR37" s="105">
        <v>0</v>
      </c>
      <c r="BS37" s="105">
        <v>0</v>
      </c>
      <c r="BT37" s="117">
        <v>0</v>
      </c>
    </row>
    <row r="38" spans="1:72" ht="15" customHeight="1" outlineLevel="1" x14ac:dyDescent="0.25">
      <c r="A38" s="42" t="s">
        <v>59</v>
      </c>
      <c r="B38" s="107">
        <v>0</v>
      </c>
      <c r="C38" s="105">
        <v>16</v>
      </c>
      <c r="D38" s="105">
        <v>16</v>
      </c>
      <c r="E38" s="105">
        <v>0</v>
      </c>
      <c r="F38" s="105">
        <v>0</v>
      </c>
      <c r="G38" s="105">
        <v>0</v>
      </c>
      <c r="H38" s="106">
        <v>0</v>
      </c>
      <c r="I38" s="77"/>
      <c r="J38" s="107">
        <v>0</v>
      </c>
      <c r="K38" s="105">
        <v>0</v>
      </c>
      <c r="L38" s="116">
        <v>0</v>
      </c>
      <c r="M38" s="105">
        <v>0</v>
      </c>
      <c r="N38" s="105">
        <v>0</v>
      </c>
      <c r="O38" s="105">
        <v>0</v>
      </c>
      <c r="P38" s="117">
        <v>0</v>
      </c>
      <c r="Q38" s="110"/>
      <c r="R38" s="107">
        <v>0</v>
      </c>
      <c r="S38" s="105">
        <v>0</v>
      </c>
      <c r="T38" s="116">
        <v>0</v>
      </c>
      <c r="U38" s="105">
        <v>0</v>
      </c>
      <c r="V38" s="105">
        <v>0</v>
      </c>
      <c r="W38" s="105">
        <v>0</v>
      </c>
      <c r="X38" s="117">
        <v>0</v>
      </c>
      <c r="Y38" s="110"/>
      <c r="Z38" s="107">
        <v>54</v>
      </c>
      <c r="AA38" s="105">
        <v>55</v>
      </c>
      <c r="AB38" s="116">
        <v>109</v>
      </c>
      <c r="AC38" s="105">
        <v>54</v>
      </c>
      <c r="AD38" s="105">
        <v>163</v>
      </c>
      <c r="AE38" s="105">
        <v>53</v>
      </c>
      <c r="AF38" s="117">
        <v>216</v>
      </c>
      <c r="AG38" s="110"/>
      <c r="AH38" s="107">
        <v>56</v>
      </c>
      <c r="AI38" s="105">
        <v>52</v>
      </c>
      <c r="AJ38" s="116">
        <v>108</v>
      </c>
      <c r="AK38" s="105">
        <v>54</v>
      </c>
      <c r="AL38" s="105">
        <v>162</v>
      </c>
      <c r="AM38" s="105">
        <v>54</v>
      </c>
      <c r="AN38" s="117">
        <v>216</v>
      </c>
      <c r="AO38" s="110"/>
      <c r="AP38" s="107">
        <v>0</v>
      </c>
      <c r="AQ38" s="105">
        <v>0</v>
      </c>
      <c r="AR38" s="116">
        <v>0</v>
      </c>
      <c r="AS38" s="105">
        <v>0</v>
      </c>
      <c r="AT38" s="105">
        <v>0</v>
      </c>
      <c r="AU38" s="105">
        <v>0</v>
      </c>
      <c r="AV38" s="117">
        <v>0</v>
      </c>
      <c r="AW38" s="110"/>
      <c r="AX38" s="107">
        <v>0</v>
      </c>
      <c r="AY38" s="105">
        <v>0</v>
      </c>
      <c r="AZ38" s="116">
        <v>0</v>
      </c>
      <c r="BA38" s="105">
        <v>0</v>
      </c>
      <c r="BB38" s="105">
        <v>0</v>
      </c>
      <c r="BC38" s="105">
        <v>0</v>
      </c>
      <c r="BD38" s="117">
        <v>0</v>
      </c>
      <c r="BE38" s="110"/>
      <c r="BF38" s="107">
        <v>0</v>
      </c>
      <c r="BG38" s="105">
        <v>0</v>
      </c>
      <c r="BH38" s="116">
        <v>0</v>
      </c>
      <c r="BI38" s="105">
        <v>0</v>
      </c>
      <c r="BJ38" s="105">
        <v>0</v>
      </c>
      <c r="BK38" s="105">
        <v>0</v>
      </c>
      <c r="BL38" s="117">
        <v>0</v>
      </c>
      <c r="BM38" s="110"/>
      <c r="BN38" s="107">
        <v>0</v>
      </c>
      <c r="BO38" s="105">
        <v>0</v>
      </c>
      <c r="BP38" s="116">
        <v>0</v>
      </c>
      <c r="BQ38" s="105">
        <v>0</v>
      </c>
      <c r="BR38" s="105">
        <v>0</v>
      </c>
      <c r="BS38" s="105">
        <v>0</v>
      </c>
      <c r="BT38" s="117">
        <v>0</v>
      </c>
    </row>
    <row r="39" spans="1:72" ht="15" customHeight="1" outlineLevel="1" x14ac:dyDescent="0.25">
      <c r="A39" s="42" t="s">
        <v>60</v>
      </c>
      <c r="B39" s="107">
        <v>0</v>
      </c>
      <c r="C39" s="105">
        <v>0</v>
      </c>
      <c r="D39" s="105">
        <v>0</v>
      </c>
      <c r="E39" s="105">
        <v>0</v>
      </c>
      <c r="F39" s="105">
        <v>0</v>
      </c>
      <c r="G39" s="105">
        <v>0</v>
      </c>
      <c r="H39" s="106">
        <v>0</v>
      </c>
      <c r="I39" s="77"/>
      <c r="J39" s="107">
        <v>0</v>
      </c>
      <c r="K39" s="105">
        <v>0</v>
      </c>
      <c r="L39" s="116">
        <v>0</v>
      </c>
      <c r="M39" s="105">
        <v>0</v>
      </c>
      <c r="N39" s="105">
        <v>0</v>
      </c>
      <c r="O39" s="105">
        <v>0</v>
      </c>
      <c r="P39" s="117">
        <v>0</v>
      </c>
      <c r="Q39" s="110"/>
      <c r="R39" s="107">
        <v>0</v>
      </c>
      <c r="S39" s="105">
        <v>0</v>
      </c>
      <c r="T39" s="116">
        <v>0</v>
      </c>
      <c r="U39" s="105">
        <v>0</v>
      </c>
      <c r="V39" s="105">
        <v>0</v>
      </c>
      <c r="W39" s="105">
        <v>0</v>
      </c>
      <c r="X39" s="117">
        <v>0</v>
      </c>
      <c r="Y39" s="110"/>
      <c r="Z39" s="107">
        <v>0</v>
      </c>
      <c r="AA39" s="105">
        <v>0</v>
      </c>
      <c r="AB39" s="116">
        <v>0</v>
      </c>
      <c r="AC39" s="105">
        <v>0</v>
      </c>
      <c r="AD39" s="105">
        <v>0</v>
      </c>
      <c r="AE39" s="105">
        <v>0</v>
      </c>
      <c r="AF39" s="117">
        <v>0</v>
      </c>
      <c r="AG39" s="110"/>
      <c r="AH39" s="107">
        <v>7700</v>
      </c>
      <c r="AI39" s="105">
        <v>0</v>
      </c>
      <c r="AJ39" s="116">
        <v>7700</v>
      </c>
      <c r="AK39" s="105">
        <v>0</v>
      </c>
      <c r="AL39" s="105">
        <v>7700</v>
      </c>
      <c r="AM39" s="105">
        <v>20069</v>
      </c>
      <c r="AN39" s="117">
        <v>27769</v>
      </c>
      <c r="AO39" s="110"/>
      <c r="AP39" s="107">
        <v>0</v>
      </c>
      <c r="AQ39" s="105">
        <v>0</v>
      </c>
      <c r="AR39" s="116">
        <v>0</v>
      </c>
      <c r="AS39" s="105">
        <v>42435</v>
      </c>
      <c r="AT39" s="105">
        <v>42435</v>
      </c>
      <c r="AU39" s="105">
        <v>-3600</v>
      </c>
      <c r="AV39" s="117">
        <v>38835</v>
      </c>
      <c r="AW39" s="110"/>
      <c r="AX39" s="107">
        <v>0</v>
      </c>
      <c r="AY39" s="105">
        <v>0</v>
      </c>
      <c r="AZ39" s="116">
        <v>0</v>
      </c>
      <c r="BA39" s="105">
        <v>0</v>
      </c>
      <c r="BB39" s="105">
        <v>0</v>
      </c>
      <c r="BC39" s="105">
        <v>0</v>
      </c>
      <c r="BD39" s="117">
        <v>0</v>
      </c>
      <c r="BE39" s="110"/>
      <c r="BF39" s="107">
        <v>0</v>
      </c>
      <c r="BG39" s="105">
        <v>0</v>
      </c>
      <c r="BH39" s="116">
        <v>0</v>
      </c>
      <c r="BI39" s="105">
        <v>0</v>
      </c>
      <c r="BJ39" s="105">
        <v>0</v>
      </c>
      <c r="BK39" s="105">
        <v>0</v>
      </c>
      <c r="BL39" s="117">
        <v>0</v>
      </c>
      <c r="BM39" s="110"/>
      <c r="BN39" s="107">
        <v>0</v>
      </c>
      <c r="BO39" s="105">
        <v>0</v>
      </c>
      <c r="BP39" s="116">
        <v>0</v>
      </c>
      <c r="BQ39" s="105">
        <v>0</v>
      </c>
      <c r="BR39" s="105">
        <v>0</v>
      </c>
      <c r="BS39" s="105">
        <v>0</v>
      </c>
      <c r="BT39" s="117">
        <v>0</v>
      </c>
    </row>
    <row r="40" spans="1:72" ht="15" customHeight="1" outlineLevel="1" x14ac:dyDescent="0.25">
      <c r="A40" s="42" t="s">
        <v>61</v>
      </c>
      <c r="B40" s="107">
        <v>0</v>
      </c>
      <c r="C40" s="105">
        <v>0</v>
      </c>
      <c r="D40" s="105">
        <v>0</v>
      </c>
      <c r="E40" s="105">
        <v>0</v>
      </c>
      <c r="F40" s="105">
        <v>0</v>
      </c>
      <c r="G40" s="105">
        <v>0</v>
      </c>
      <c r="H40" s="106">
        <v>0</v>
      </c>
      <c r="I40" s="77"/>
      <c r="J40" s="107">
        <v>0</v>
      </c>
      <c r="K40" s="105">
        <v>0</v>
      </c>
      <c r="L40" s="116">
        <v>0</v>
      </c>
      <c r="M40" s="105">
        <v>0</v>
      </c>
      <c r="N40" s="105">
        <v>0</v>
      </c>
      <c r="O40" s="105">
        <v>0</v>
      </c>
      <c r="P40" s="117">
        <v>0</v>
      </c>
      <c r="Q40" s="110"/>
      <c r="R40" s="107">
        <v>0</v>
      </c>
      <c r="S40" s="105">
        <v>0</v>
      </c>
      <c r="T40" s="116">
        <v>0</v>
      </c>
      <c r="U40" s="105">
        <v>0</v>
      </c>
      <c r="V40" s="105">
        <v>0</v>
      </c>
      <c r="W40" s="105">
        <v>0</v>
      </c>
      <c r="X40" s="117">
        <v>0</v>
      </c>
      <c r="Y40" s="110"/>
      <c r="Z40" s="107">
        <v>0</v>
      </c>
      <c r="AA40" s="105">
        <v>0</v>
      </c>
      <c r="AB40" s="116">
        <v>0</v>
      </c>
      <c r="AC40" s="105">
        <v>0</v>
      </c>
      <c r="AD40" s="105">
        <v>0</v>
      </c>
      <c r="AE40" s="105">
        <v>0</v>
      </c>
      <c r="AF40" s="117">
        <v>0</v>
      </c>
      <c r="AG40" s="110"/>
      <c r="AH40" s="107">
        <v>0</v>
      </c>
      <c r="AI40" s="105">
        <v>0</v>
      </c>
      <c r="AJ40" s="116">
        <v>0</v>
      </c>
      <c r="AK40" s="105">
        <v>0</v>
      </c>
      <c r="AL40" s="105">
        <v>0</v>
      </c>
      <c r="AM40" s="105">
        <v>0</v>
      </c>
      <c r="AN40" s="117">
        <v>0</v>
      </c>
      <c r="AO40" s="110"/>
      <c r="AP40" s="107">
        <v>54</v>
      </c>
      <c r="AQ40" s="105">
        <v>53</v>
      </c>
      <c r="AR40" s="116">
        <v>107</v>
      </c>
      <c r="AS40" s="105">
        <v>64</v>
      </c>
      <c r="AT40" s="105">
        <v>171</v>
      </c>
      <c r="AU40" s="105">
        <v>45</v>
      </c>
      <c r="AV40" s="117">
        <v>216</v>
      </c>
      <c r="AW40" s="110"/>
      <c r="AX40" s="107">
        <v>54</v>
      </c>
      <c r="AY40" s="105">
        <v>53</v>
      </c>
      <c r="AZ40" s="116">
        <v>107</v>
      </c>
      <c r="BA40" s="105">
        <v>54</v>
      </c>
      <c r="BB40" s="105">
        <v>161</v>
      </c>
      <c r="BC40" s="105">
        <v>54</v>
      </c>
      <c r="BD40" s="117">
        <v>215</v>
      </c>
      <c r="BE40" s="110"/>
      <c r="BF40" s="107">
        <v>0</v>
      </c>
      <c r="BG40" s="105">
        <v>0</v>
      </c>
      <c r="BH40" s="116">
        <v>0</v>
      </c>
      <c r="BI40" s="105">
        <v>0</v>
      </c>
      <c r="BJ40" s="105">
        <v>0</v>
      </c>
      <c r="BK40" s="105">
        <v>216</v>
      </c>
      <c r="BL40" s="117">
        <v>216</v>
      </c>
      <c r="BM40" s="110"/>
      <c r="BN40" s="107">
        <v>0</v>
      </c>
      <c r="BO40" s="105">
        <v>0</v>
      </c>
      <c r="BP40" s="116">
        <v>0</v>
      </c>
      <c r="BQ40" s="105">
        <v>0</v>
      </c>
      <c r="BR40" s="105">
        <v>0</v>
      </c>
      <c r="BS40" s="105">
        <v>18</v>
      </c>
      <c r="BT40" s="117">
        <v>18</v>
      </c>
    </row>
    <row r="41" spans="1:72" ht="15" customHeight="1" outlineLevel="1" x14ac:dyDescent="0.25">
      <c r="A41" s="42" t="s">
        <v>62</v>
      </c>
      <c r="B41" s="107">
        <v>0</v>
      </c>
      <c r="C41" s="105">
        <v>0</v>
      </c>
      <c r="D41" s="105">
        <v>0</v>
      </c>
      <c r="E41" s="105">
        <v>0</v>
      </c>
      <c r="F41" s="105">
        <v>0</v>
      </c>
      <c r="G41" s="105">
        <v>0</v>
      </c>
      <c r="H41" s="106">
        <v>0</v>
      </c>
      <c r="I41" s="77"/>
      <c r="J41" s="107">
        <v>0</v>
      </c>
      <c r="K41" s="105">
        <v>0</v>
      </c>
      <c r="L41" s="116">
        <v>0</v>
      </c>
      <c r="M41" s="105">
        <v>0</v>
      </c>
      <c r="N41" s="105">
        <v>0</v>
      </c>
      <c r="O41" s="105">
        <v>0</v>
      </c>
      <c r="P41" s="117">
        <v>0</v>
      </c>
      <c r="Q41" s="110"/>
      <c r="R41" s="107">
        <v>0</v>
      </c>
      <c r="S41" s="105">
        <v>0</v>
      </c>
      <c r="T41" s="116">
        <v>0</v>
      </c>
      <c r="U41" s="105">
        <v>0</v>
      </c>
      <c r="V41" s="105">
        <v>0</v>
      </c>
      <c r="W41" s="105">
        <v>0</v>
      </c>
      <c r="X41" s="117">
        <v>0</v>
      </c>
      <c r="Y41" s="110"/>
      <c r="Z41" s="107">
        <v>0</v>
      </c>
      <c r="AA41" s="105">
        <v>0</v>
      </c>
      <c r="AB41" s="116">
        <v>0</v>
      </c>
      <c r="AC41" s="105">
        <v>0</v>
      </c>
      <c r="AD41" s="105">
        <v>0</v>
      </c>
      <c r="AE41" s="105">
        <v>0</v>
      </c>
      <c r="AF41" s="117">
        <v>0</v>
      </c>
      <c r="AG41" s="110"/>
      <c r="AH41" s="107">
        <v>0</v>
      </c>
      <c r="AI41" s="105">
        <v>0</v>
      </c>
      <c r="AJ41" s="116">
        <v>0</v>
      </c>
      <c r="AK41" s="105">
        <v>0</v>
      </c>
      <c r="AL41" s="105">
        <v>0</v>
      </c>
      <c r="AM41" s="105">
        <v>0</v>
      </c>
      <c r="AN41" s="117">
        <v>0</v>
      </c>
      <c r="AO41" s="110"/>
      <c r="AP41" s="107">
        <v>0</v>
      </c>
      <c r="AQ41" s="105">
        <v>0</v>
      </c>
      <c r="AR41" s="116">
        <v>0</v>
      </c>
      <c r="AS41" s="105">
        <v>0</v>
      </c>
      <c r="AT41" s="105">
        <v>0</v>
      </c>
      <c r="AU41" s="105">
        <v>0</v>
      </c>
      <c r="AV41" s="117">
        <v>0</v>
      </c>
      <c r="AW41" s="110"/>
      <c r="AX41" s="107">
        <v>0</v>
      </c>
      <c r="AY41" s="105">
        <v>0</v>
      </c>
      <c r="AZ41" s="116">
        <v>0</v>
      </c>
      <c r="BA41" s="105">
        <v>0</v>
      </c>
      <c r="BB41" s="105">
        <v>0</v>
      </c>
      <c r="BC41" s="105">
        <v>0</v>
      </c>
      <c r="BD41" s="117">
        <v>0</v>
      </c>
      <c r="BE41" s="110"/>
      <c r="BF41" s="107">
        <v>0</v>
      </c>
      <c r="BG41" s="105">
        <v>0</v>
      </c>
      <c r="BH41" s="116">
        <v>0</v>
      </c>
      <c r="BI41" s="105">
        <v>0</v>
      </c>
      <c r="BJ41" s="105">
        <v>0</v>
      </c>
      <c r="BK41" s="105">
        <v>0</v>
      </c>
      <c r="BL41" s="117">
        <v>0</v>
      </c>
      <c r="BM41" s="110"/>
      <c r="BN41" s="107">
        <v>0</v>
      </c>
      <c r="BO41" s="105">
        <v>0</v>
      </c>
      <c r="BP41" s="116">
        <v>0</v>
      </c>
      <c r="BQ41" s="105">
        <v>0</v>
      </c>
      <c r="BR41" s="105">
        <v>0</v>
      </c>
      <c r="BS41" s="105">
        <v>0</v>
      </c>
      <c r="BT41" s="117">
        <v>0</v>
      </c>
    </row>
    <row r="42" spans="1:72" ht="15" customHeight="1" outlineLevel="1" x14ac:dyDescent="0.25">
      <c r="A42" s="42" t="s">
        <v>63</v>
      </c>
      <c r="B42" s="107">
        <v>0</v>
      </c>
      <c r="C42" s="105">
        <v>0</v>
      </c>
      <c r="D42" s="105">
        <v>0</v>
      </c>
      <c r="E42" s="105">
        <v>0</v>
      </c>
      <c r="F42" s="105">
        <v>0</v>
      </c>
      <c r="G42" s="105">
        <v>0</v>
      </c>
      <c r="H42" s="106">
        <v>0</v>
      </c>
      <c r="I42" s="77"/>
      <c r="J42" s="107">
        <v>0</v>
      </c>
      <c r="K42" s="105">
        <v>0</v>
      </c>
      <c r="L42" s="116">
        <v>0</v>
      </c>
      <c r="M42" s="105">
        <v>0</v>
      </c>
      <c r="N42" s="105">
        <v>0</v>
      </c>
      <c r="O42" s="105">
        <v>0</v>
      </c>
      <c r="P42" s="117">
        <v>0</v>
      </c>
      <c r="Q42" s="110"/>
      <c r="R42" s="107">
        <v>0</v>
      </c>
      <c r="S42" s="105">
        <v>0</v>
      </c>
      <c r="T42" s="116">
        <v>0</v>
      </c>
      <c r="U42" s="105">
        <v>0</v>
      </c>
      <c r="V42" s="105">
        <v>0</v>
      </c>
      <c r="W42" s="105">
        <v>0</v>
      </c>
      <c r="X42" s="117">
        <v>0</v>
      </c>
      <c r="Y42" s="110"/>
      <c r="Z42" s="107">
        <v>0</v>
      </c>
      <c r="AA42" s="105">
        <v>0</v>
      </c>
      <c r="AB42" s="116">
        <v>0</v>
      </c>
      <c r="AC42" s="105">
        <v>0</v>
      </c>
      <c r="AD42" s="105">
        <v>0</v>
      </c>
      <c r="AE42" s="105">
        <v>0</v>
      </c>
      <c r="AF42" s="117">
        <v>0</v>
      </c>
      <c r="AG42" s="110"/>
      <c r="AH42" s="107">
        <v>0</v>
      </c>
      <c r="AI42" s="105">
        <v>0</v>
      </c>
      <c r="AJ42" s="116">
        <v>0</v>
      </c>
      <c r="AK42" s="105">
        <v>0</v>
      </c>
      <c r="AL42" s="105">
        <v>0</v>
      </c>
      <c r="AM42" s="105">
        <v>0</v>
      </c>
      <c r="AN42" s="117">
        <v>0</v>
      </c>
      <c r="AO42" s="110"/>
      <c r="AP42" s="107">
        <v>0</v>
      </c>
      <c r="AQ42" s="105">
        <v>0</v>
      </c>
      <c r="AR42" s="116">
        <v>0</v>
      </c>
      <c r="AS42" s="105">
        <v>0</v>
      </c>
      <c r="AT42" s="105">
        <v>0</v>
      </c>
      <c r="AU42" s="105">
        <v>0</v>
      </c>
      <c r="AV42" s="117">
        <v>0</v>
      </c>
      <c r="AW42" s="110"/>
      <c r="AX42" s="107">
        <v>0</v>
      </c>
      <c r="AY42" s="105">
        <v>0</v>
      </c>
      <c r="AZ42" s="116">
        <v>0</v>
      </c>
      <c r="BA42" s="105">
        <v>0</v>
      </c>
      <c r="BB42" s="105">
        <v>0</v>
      </c>
      <c r="BC42" s="105">
        <v>0</v>
      </c>
      <c r="BD42" s="117">
        <v>0</v>
      </c>
      <c r="BE42" s="110"/>
      <c r="BF42" s="107">
        <v>0</v>
      </c>
      <c r="BG42" s="105">
        <v>0</v>
      </c>
      <c r="BH42" s="116">
        <v>0</v>
      </c>
      <c r="BI42" s="105">
        <v>0</v>
      </c>
      <c r="BJ42" s="105">
        <v>0</v>
      </c>
      <c r="BK42" s="105">
        <v>0</v>
      </c>
      <c r="BL42" s="117">
        <v>0</v>
      </c>
      <c r="BM42" s="110"/>
      <c r="BN42" s="107">
        <v>0</v>
      </c>
      <c r="BO42" s="105">
        <v>0</v>
      </c>
      <c r="BP42" s="116">
        <v>0</v>
      </c>
      <c r="BQ42" s="105">
        <v>0</v>
      </c>
      <c r="BR42" s="105">
        <v>0</v>
      </c>
      <c r="BS42" s="105">
        <v>0</v>
      </c>
      <c r="BT42" s="117">
        <v>0</v>
      </c>
    </row>
    <row r="43" spans="1:72" ht="15" customHeight="1" outlineLevel="1" x14ac:dyDescent="0.25">
      <c r="A43" s="42" t="s">
        <v>64</v>
      </c>
      <c r="B43" s="107">
        <v>0</v>
      </c>
      <c r="C43" s="105">
        <v>0</v>
      </c>
      <c r="D43" s="105">
        <v>0</v>
      </c>
      <c r="E43" s="105">
        <v>0</v>
      </c>
      <c r="F43" s="105">
        <v>0</v>
      </c>
      <c r="G43" s="105">
        <v>0</v>
      </c>
      <c r="H43" s="106">
        <v>0</v>
      </c>
      <c r="I43" s="77"/>
      <c r="J43" s="107">
        <v>0</v>
      </c>
      <c r="K43" s="105">
        <v>0</v>
      </c>
      <c r="L43" s="116">
        <v>0</v>
      </c>
      <c r="M43" s="105">
        <v>0</v>
      </c>
      <c r="N43" s="105">
        <v>0</v>
      </c>
      <c r="O43" s="105">
        <v>0</v>
      </c>
      <c r="P43" s="117">
        <v>0</v>
      </c>
      <c r="Q43" s="110"/>
      <c r="R43" s="107">
        <v>0</v>
      </c>
      <c r="S43" s="105">
        <v>0</v>
      </c>
      <c r="T43" s="116">
        <v>0</v>
      </c>
      <c r="U43" s="105">
        <v>0</v>
      </c>
      <c r="V43" s="105">
        <v>0</v>
      </c>
      <c r="W43" s="105">
        <v>0</v>
      </c>
      <c r="X43" s="117">
        <v>0</v>
      </c>
      <c r="Y43" s="110"/>
      <c r="Z43" s="107">
        <v>0</v>
      </c>
      <c r="AA43" s="105">
        <v>0</v>
      </c>
      <c r="AB43" s="116">
        <v>0</v>
      </c>
      <c r="AC43" s="105">
        <v>0</v>
      </c>
      <c r="AD43" s="105">
        <v>0</v>
      </c>
      <c r="AE43" s="105">
        <v>0</v>
      </c>
      <c r="AF43" s="117">
        <v>0</v>
      </c>
      <c r="AG43" s="110"/>
      <c r="AH43" s="107">
        <v>0</v>
      </c>
      <c r="AI43" s="105">
        <v>0</v>
      </c>
      <c r="AJ43" s="116">
        <v>0</v>
      </c>
      <c r="AK43" s="105">
        <v>0</v>
      </c>
      <c r="AL43" s="105">
        <v>0</v>
      </c>
      <c r="AM43" s="105">
        <v>0</v>
      </c>
      <c r="AN43" s="117">
        <v>0</v>
      </c>
      <c r="AO43" s="110"/>
      <c r="AP43" s="107">
        <v>0</v>
      </c>
      <c r="AQ43" s="105">
        <v>0</v>
      </c>
      <c r="AR43" s="116">
        <v>0</v>
      </c>
      <c r="AS43" s="105">
        <v>0</v>
      </c>
      <c r="AT43" s="105">
        <v>0</v>
      </c>
      <c r="AU43" s="105">
        <v>0</v>
      </c>
      <c r="AV43" s="117">
        <v>0</v>
      </c>
      <c r="AW43" s="110"/>
      <c r="AX43" s="107">
        <v>0</v>
      </c>
      <c r="AY43" s="105">
        <v>0</v>
      </c>
      <c r="AZ43" s="116">
        <v>0</v>
      </c>
      <c r="BA43" s="105">
        <v>0</v>
      </c>
      <c r="BB43" s="105">
        <v>0</v>
      </c>
      <c r="BC43" s="105">
        <v>0</v>
      </c>
      <c r="BD43" s="117">
        <v>0</v>
      </c>
      <c r="BE43" s="110"/>
      <c r="BF43" s="107">
        <v>0</v>
      </c>
      <c r="BG43" s="105">
        <v>0</v>
      </c>
      <c r="BH43" s="116">
        <v>0</v>
      </c>
      <c r="BI43" s="105">
        <v>0</v>
      </c>
      <c r="BJ43" s="105">
        <v>0</v>
      </c>
      <c r="BK43" s="105">
        <v>0</v>
      </c>
      <c r="BL43" s="117">
        <v>0</v>
      </c>
      <c r="BM43" s="110"/>
      <c r="BN43" s="107">
        <v>0</v>
      </c>
      <c r="BO43" s="105">
        <v>0</v>
      </c>
      <c r="BP43" s="116">
        <v>0</v>
      </c>
      <c r="BQ43" s="105">
        <v>0</v>
      </c>
      <c r="BR43" s="105">
        <v>0</v>
      </c>
      <c r="BS43" s="105">
        <v>0</v>
      </c>
      <c r="BT43" s="117">
        <v>0</v>
      </c>
    </row>
    <row r="44" spans="1:72" ht="15" customHeight="1" outlineLevel="1" x14ac:dyDescent="0.25">
      <c r="A44" s="42" t="s">
        <v>14</v>
      </c>
      <c r="B44" s="107">
        <v>0</v>
      </c>
      <c r="C44" s="105">
        <v>0</v>
      </c>
      <c r="D44" s="105">
        <v>0</v>
      </c>
      <c r="E44" s="105">
        <v>0</v>
      </c>
      <c r="F44" s="105">
        <v>0</v>
      </c>
      <c r="G44" s="105">
        <v>0</v>
      </c>
      <c r="H44" s="106">
        <v>0</v>
      </c>
      <c r="I44" s="77"/>
      <c r="J44" s="107">
        <v>0</v>
      </c>
      <c r="K44" s="105">
        <v>0</v>
      </c>
      <c r="L44" s="116">
        <v>0</v>
      </c>
      <c r="M44" s="105">
        <v>0</v>
      </c>
      <c r="N44" s="105">
        <v>0</v>
      </c>
      <c r="O44" s="105">
        <v>0</v>
      </c>
      <c r="P44" s="117">
        <v>0</v>
      </c>
      <c r="Q44" s="110"/>
      <c r="R44" s="107">
        <v>0</v>
      </c>
      <c r="S44" s="105">
        <v>0</v>
      </c>
      <c r="T44" s="116">
        <v>0</v>
      </c>
      <c r="U44" s="105">
        <v>0</v>
      </c>
      <c r="V44" s="105">
        <v>0</v>
      </c>
      <c r="W44" s="105">
        <v>0</v>
      </c>
      <c r="X44" s="117">
        <v>0</v>
      </c>
      <c r="Y44" s="110"/>
      <c r="Z44" s="107">
        <v>0</v>
      </c>
      <c r="AA44" s="105">
        <v>0</v>
      </c>
      <c r="AB44" s="116">
        <v>0</v>
      </c>
      <c r="AC44" s="105">
        <v>0</v>
      </c>
      <c r="AD44" s="105">
        <v>0</v>
      </c>
      <c r="AE44" s="105">
        <v>0</v>
      </c>
      <c r="AF44" s="117">
        <v>0</v>
      </c>
      <c r="AG44" s="110"/>
      <c r="AH44" s="107">
        <v>125</v>
      </c>
      <c r="AI44" s="105">
        <v>0</v>
      </c>
      <c r="AJ44" s="116">
        <v>125</v>
      </c>
      <c r="AK44" s="105">
        <v>0</v>
      </c>
      <c r="AL44" s="105">
        <v>125</v>
      </c>
      <c r="AM44" s="105">
        <v>0</v>
      </c>
      <c r="AN44" s="117">
        <v>125</v>
      </c>
      <c r="AO44" s="110"/>
      <c r="AP44" s="107">
        <v>125</v>
      </c>
      <c r="AQ44" s="105">
        <v>125</v>
      </c>
      <c r="AR44" s="116">
        <v>250</v>
      </c>
      <c r="AS44" s="105">
        <v>125</v>
      </c>
      <c r="AT44" s="105">
        <v>375</v>
      </c>
      <c r="AU44" s="105">
        <v>125</v>
      </c>
      <c r="AV44" s="117">
        <v>500</v>
      </c>
      <c r="AW44" s="110"/>
      <c r="AX44" s="107">
        <v>125</v>
      </c>
      <c r="AY44" s="105">
        <v>125</v>
      </c>
      <c r="AZ44" s="116">
        <v>250</v>
      </c>
      <c r="BA44" s="105">
        <v>125</v>
      </c>
      <c r="BB44" s="105">
        <v>375</v>
      </c>
      <c r="BC44" s="105">
        <v>0</v>
      </c>
      <c r="BD44" s="117">
        <v>375</v>
      </c>
      <c r="BE44" s="110"/>
      <c r="BF44" s="107">
        <v>125</v>
      </c>
      <c r="BG44" s="105">
        <v>125</v>
      </c>
      <c r="BH44" s="116">
        <v>250</v>
      </c>
      <c r="BI44" s="105">
        <v>125</v>
      </c>
      <c r="BJ44" s="105">
        <v>375</v>
      </c>
      <c r="BK44" s="105">
        <v>125</v>
      </c>
      <c r="BL44" s="117">
        <v>500</v>
      </c>
      <c r="BM44" s="110"/>
      <c r="BN44" s="107">
        <v>0</v>
      </c>
      <c r="BO44" s="105">
        <v>0</v>
      </c>
      <c r="BP44" s="105">
        <v>0</v>
      </c>
      <c r="BQ44" s="105">
        <v>166</v>
      </c>
      <c r="BR44" s="105">
        <v>166</v>
      </c>
      <c r="BS44" s="105">
        <v>376</v>
      </c>
      <c r="BT44" s="117">
        <v>542</v>
      </c>
    </row>
    <row r="45" spans="1:72" ht="17.25" customHeight="1" outlineLevel="1" x14ac:dyDescent="0.4">
      <c r="A45" s="42" t="s">
        <v>34</v>
      </c>
      <c r="B45" s="111">
        <v>0</v>
      </c>
      <c r="C45" s="112">
        <v>0</v>
      </c>
      <c r="D45" s="112">
        <v>0</v>
      </c>
      <c r="E45" s="112">
        <v>0</v>
      </c>
      <c r="F45" s="112">
        <v>0</v>
      </c>
      <c r="G45" s="112">
        <v>0</v>
      </c>
      <c r="H45" s="113">
        <v>0</v>
      </c>
      <c r="I45" s="77"/>
      <c r="J45" s="111">
        <v>0</v>
      </c>
      <c r="K45" s="112">
        <v>0</v>
      </c>
      <c r="L45" s="112">
        <v>0</v>
      </c>
      <c r="M45" s="112">
        <v>0</v>
      </c>
      <c r="N45" s="112">
        <v>0</v>
      </c>
      <c r="O45" s="112">
        <v>0</v>
      </c>
      <c r="P45" s="113">
        <v>0</v>
      </c>
      <c r="Q45" s="110"/>
      <c r="R45" s="111">
        <v>0</v>
      </c>
      <c r="S45" s="112">
        <v>0</v>
      </c>
      <c r="T45" s="112">
        <v>0</v>
      </c>
      <c r="U45" s="112">
        <v>0</v>
      </c>
      <c r="V45" s="112">
        <v>0</v>
      </c>
      <c r="W45" s="112">
        <v>0</v>
      </c>
      <c r="X45" s="113">
        <v>0</v>
      </c>
      <c r="Y45" s="110"/>
      <c r="Z45" s="111">
        <v>0</v>
      </c>
      <c r="AA45" s="112">
        <v>0</v>
      </c>
      <c r="AB45" s="112">
        <v>0</v>
      </c>
      <c r="AC45" s="112">
        <v>0</v>
      </c>
      <c r="AD45" s="112">
        <v>0</v>
      </c>
      <c r="AE45" s="112">
        <v>0</v>
      </c>
      <c r="AF45" s="113">
        <v>0</v>
      </c>
      <c r="AG45" s="110"/>
      <c r="AH45" s="111">
        <v>0</v>
      </c>
      <c r="AI45" s="112">
        <v>0</v>
      </c>
      <c r="AJ45" s="112">
        <v>0</v>
      </c>
      <c r="AK45" s="112">
        <v>0</v>
      </c>
      <c r="AL45" s="112">
        <v>0</v>
      </c>
      <c r="AM45" s="112">
        <v>0</v>
      </c>
      <c r="AN45" s="113">
        <v>0</v>
      </c>
      <c r="AO45" s="110"/>
      <c r="AP45" s="111">
        <v>0</v>
      </c>
      <c r="AQ45" s="112">
        <v>4</v>
      </c>
      <c r="AR45" s="112">
        <v>4</v>
      </c>
      <c r="AS45" s="112">
        <v>20</v>
      </c>
      <c r="AT45" s="112">
        <v>24</v>
      </c>
      <c r="AU45" s="112">
        <v>-24</v>
      </c>
      <c r="AV45" s="113">
        <v>0</v>
      </c>
      <c r="AW45" s="110"/>
      <c r="AX45" s="111">
        <v>0</v>
      </c>
      <c r="AY45" s="112">
        <v>241</v>
      </c>
      <c r="AZ45" s="112">
        <v>241</v>
      </c>
      <c r="BA45" s="112">
        <v>-2</v>
      </c>
      <c r="BB45" s="112">
        <v>239</v>
      </c>
      <c r="BC45" s="112">
        <v>-239</v>
      </c>
      <c r="BD45" s="113">
        <v>0</v>
      </c>
      <c r="BE45" s="110"/>
      <c r="BF45" s="111">
        <v>0</v>
      </c>
      <c r="BG45" s="112">
        <v>64</v>
      </c>
      <c r="BH45" s="112">
        <v>64</v>
      </c>
      <c r="BI45" s="112">
        <v>0</v>
      </c>
      <c r="BJ45" s="112">
        <v>64</v>
      </c>
      <c r="BK45" s="112">
        <v>-65</v>
      </c>
      <c r="BL45" s="113">
        <v>-1</v>
      </c>
      <c r="BM45" s="110"/>
      <c r="BN45" s="111">
        <v>0</v>
      </c>
      <c r="BO45" s="112">
        <v>0</v>
      </c>
      <c r="BP45" s="112">
        <v>0</v>
      </c>
      <c r="BQ45" s="112">
        <v>0</v>
      </c>
      <c r="BR45" s="112">
        <v>0</v>
      </c>
      <c r="BS45" s="112">
        <v>0</v>
      </c>
      <c r="BT45" s="113">
        <v>0</v>
      </c>
    </row>
    <row r="46" spans="1:72" s="100" customFormat="1" x14ac:dyDescent="0.25">
      <c r="A46" s="88" t="s">
        <v>65</v>
      </c>
      <c r="B46" s="108">
        <v>1737</v>
      </c>
      <c r="C46" s="103">
        <v>1627</v>
      </c>
      <c r="D46" s="103">
        <v>3364</v>
      </c>
      <c r="E46" s="103">
        <v>0</v>
      </c>
      <c r="F46" s="103">
        <v>0</v>
      </c>
      <c r="G46" s="103">
        <v>0</v>
      </c>
      <c r="H46" s="106">
        <v>0</v>
      </c>
      <c r="I46" s="89"/>
      <c r="J46" s="108">
        <v>1179</v>
      </c>
      <c r="K46" s="103">
        <v>1059</v>
      </c>
      <c r="L46" s="118">
        <v>2238</v>
      </c>
      <c r="M46" s="103">
        <v>452</v>
      </c>
      <c r="N46" s="118">
        <v>2690</v>
      </c>
      <c r="O46" s="103">
        <v>1273</v>
      </c>
      <c r="P46" s="119">
        <v>3963</v>
      </c>
      <c r="Q46" s="109"/>
      <c r="R46" s="108">
        <v>619</v>
      </c>
      <c r="S46" s="103">
        <v>-159</v>
      </c>
      <c r="T46" s="118">
        <v>460</v>
      </c>
      <c r="U46" s="103">
        <v>-136</v>
      </c>
      <c r="V46" s="118">
        <v>324</v>
      </c>
      <c r="W46" s="103">
        <v>55</v>
      </c>
      <c r="X46" s="119">
        <v>379</v>
      </c>
      <c r="Y46" s="109"/>
      <c r="Z46" s="108">
        <v>427</v>
      </c>
      <c r="AA46" s="103">
        <v>-750</v>
      </c>
      <c r="AB46" s="118">
        <v>-323</v>
      </c>
      <c r="AC46" s="103">
        <v>-433</v>
      </c>
      <c r="AD46" s="118">
        <v>-756</v>
      </c>
      <c r="AE46" s="103">
        <v>-356</v>
      </c>
      <c r="AF46" s="119">
        <v>-1112</v>
      </c>
      <c r="AG46" s="109"/>
      <c r="AH46" s="108">
        <v>633</v>
      </c>
      <c r="AI46" s="103">
        <v>-759</v>
      </c>
      <c r="AJ46" s="118">
        <v>-126</v>
      </c>
      <c r="AK46" s="103">
        <v>-1720</v>
      </c>
      <c r="AL46" s="118">
        <v>-1846</v>
      </c>
      <c r="AM46" s="103">
        <v>-2350</v>
      </c>
      <c r="AN46" s="119">
        <v>-4196</v>
      </c>
      <c r="AO46" s="109"/>
      <c r="AP46" s="108">
        <v>3671</v>
      </c>
      <c r="AQ46" s="103">
        <v>2155</v>
      </c>
      <c r="AR46" s="118">
        <v>5826</v>
      </c>
      <c r="AS46" s="103">
        <v>730</v>
      </c>
      <c r="AT46" s="118">
        <v>6556</v>
      </c>
      <c r="AU46" s="103">
        <v>-1008</v>
      </c>
      <c r="AV46" s="119">
        <v>5548</v>
      </c>
      <c r="AW46" s="109"/>
      <c r="AX46" s="108">
        <v>3371</v>
      </c>
      <c r="AY46" s="103">
        <v>3096</v>
      </c>
      <c r="AZ46" s="118">
        <v>6467</v>
      </c>
      <c r="BA46" s="103">
        <v>2313</v>
      </c>
      <c r="BB46" s="118">
        <v>8780</v>
      </c>
      <c r="BC46" s="103">
        <v>1952</v>
      </c>
      <c r="BD46" s="119">
        <v>10732</v>
      </c>
      <c r="BE46" s="109"/>
      <c r="BF46" s="108">
        <v>4744</v>
      </c>
      <c r="BG46" s="103">
        <v>2390</v>
      </c>
      <c r="BH46" s="118">
        <v>7134</v>
      </c>
      <c r="BI46" s="103">
        <v>1290</v>
      </c>
      <c r="BJ46" s="118">
        <v>8424</v>
      </c>
      <c r="BK46" s="103">
        <v>1161</v>
      </c>
      <c r="BL46" s="119">
        <v>9585</v>
      </c>
      <c r="BM46" s="109"/>
      <c r="BN46" s="108">
        <v>0</v>
      </c>
      <c r="BO46" s="103">
        <v>0</v>
      </c>
      <c r="BP46" s="103">
        <v>0</v>
      </c>
      <c r="BQ46" s="103">
        <v>1285</v>
      </c>
      <c r="BR46" s="103">
        <v>1285</v>
      </c>
      <c r="BS46" s="103">
        <v>3137</v>
      </c>
      <c r="BT46" s="104">
        <v>4422</v>
      </c>
    </row>
    <row r="47" spans="1:72" x14ac:dyDescent="0.25">
      <c r="A47" s="42"/>
      <c r="B47" s="108"/>
      <c r="C47" s="103"/>
      <c r="D47" s="103"/>
      <c r="E47" s="103"/>
      <c r="F47" s="103"/>
      <c r="G47" s="103"/>
      <c r="H47" s="104"/>
      <c r="I47" s="77"/>
      <c r="J47" s="108"/>
      <c r="K47" s="110"/>
      <c r="L47" s="110"/>
      <c r="M47" s="110"/>
      <c r="N47" s="110"/>
      <c r="O47" s="110"/>
      <c r="P47" s="120"/>
      <c r="Q47" s="77"/>
      <c r="R47" s="108"/>
      <c r="S47" s="110"/>
      <c r="T47" s="110"/>
      <c r="U47" s="110"/>
      <c r="V47" s="110"/>
      <c r="W47" s="110"/>
      <c r="X47" s="120"/>
      <c r="Y47" s="77"/>
      <c r="Z47" s="108"/>
      <c r="AA47" s="110"/>
      <c r="AB47" s="110"/>
      <c r="AC47" s="110"/>
      <c r="AD47" s="110"/>
      <c r="AE47" s="110"/>
      <c r="AF47" s="120"/>
      <c r="AG47" s="110"/>
      <c r="AH47" s="108"/>
      <c r="AI47" s="110"/>
      <c r="AJ47" s="110"/>
      <c r="AK47" s="110"/>
      <c r="AL47" s="110"/>
      <c r="AM47" s="110"/>
      <c r="AN47" s="120"/>
      <c r="AO47" s="110"/>
      <c r="AP47" s="108"/>
      <c r="AQ47" s="110"/>
      <c r="AR47" s="110"/>
      <c r="AS47" s="110"/>
      <c r="AT47" s="110"/>
      <c r="AU47" s="110"/>
      <c r="AV47" s="120"/>
      <c r="AW47" s="110"/>
      <c r="AX47" s="108"/>
      <c r="AY47" s="110"/>
      <c r="AZ47" s="110"/>
      <c r="BA47" s="110"/>
      <c r="BB47" s="110"/>
      <c r="BC47" s="110"/>
      <c r="BD47" s="120"/>
      <c r="BE47" s="110"/>
      <c r="BF47" s="108"/>
      <c r="BG47" s="110"/>
      <c r="BH47" s="110"/>
      <c r="BI47" s="110"/>
      <c r="BJ47" s="110"/>
      <c r="BK47" s="110"/>
      <c r="BL47" s="120"/>
      <c r="BM47" s="110"/>
      <c r="BN47" s="108"/>
      <c r="BO47" s="110"/>
      <c r="BP47" s="110"/>
      <c r="BQ47" s="110"/>
      <c r="BR47" s="110"/>
      <c r="BS47" s="110"/>
      <c r="BT47" s="120"/>
    </row>
    <row r="48" spans="1:72" x14ac:dyDescent="0.25">
      <c r="A48" s="42"/>
      <c r="B48" s="108"/>
      <c r="C48" s="103"/>
      <c r="D48" s="103"/>
      <c r="E48" s="103"/>
      <c r="F48" s="103"/>
      <c r="G48" s="103"/>
      <c r="H48" s="104"/>
      <c r="I48" s="77"/>
      <c r="J48" s="108"/>
      <c r="K48" s="110"/>
      <c r="L48" s="110"/>
      <c r="M48" s="110"/>
      <c r="N48" s="110"/>
      <c r="O48" s="110"/>
      <c r="P48" s="120"/>
      <c r="Q48" s="77"/>
      <c r="R48" s="108"/>
      <c r="S48" s="110"/>
      <c r="T48" s="110"/>
      <c r="U48" s="110"/>
      <c r="V48" s="110"/>
      <c r="W48" s="110"/>
      <c r="X48" s="120"/>
      <c r="Y48" s="77"/>
      <c r="Z48" s="108"/>
      <c r="AA48" s="110"/>
      <c r="AB48" s="110"/>
      <c r="AC48" s="110"/>
      <c r="AD48" s="110"/>
      <c r="AE48" s="110"/>
      <c r="AF48" s="120"/>
      <c r="AG48" s="110"/>
      <c r="AH48" s="108"/>
      <c r="AI48" s="110"/>
      <c r="AJ48" s="110"/>
      <c r="AK48" s="110"/>
      <c r="AL48" s="110"/>
      <c r="AM48" s="110"/>
      <c r="AN48" s="120"/>
      <c r="AO48" s="110"/>
      <c r="AP48" s="108"/>
      <c r="AQ48" s="110"/>
      <c r="AR48" s="110"/>
      <c r="AS48" s="110"/>
      <c r="AT48" s="110"/>
      <c r="AU48" s="110"/>
      <c r="AV48" s="120"/>
      <c r="AW48" s="110"/>
      <c r="AX48" s="108"/>
      <c r="AY48" s="110"/>
      <c r="AZ48" s="110"/>
      <c r="BA48" s="110"/>
      <c r="BB48" s="110"/>
      <c r="BC48" s="110"/>
      <c r="BD48" s="120"/>
      <c r="BE48" s="110"/>
      <c r="BF48" s="108"/>
      <c r="BG48" s="110"/>
      <c r="BH48" s="110"/>
      <c r="BI48" s="110"/>
      <c r="BJ48" s="110"/>
      <c r="BK48" s="110"/>
      <c r="BL48" s="120"/>
      <c r="BM48" s="110"/>
      <c r="BN48" s="108"/>
      <c r="BO48" s="110"/>
      <c r="BP48" s="110"/>
      <c r="BQ48" s="110"/>
      <c r="BR48" s="110"/>
      <c r="BS48" s="110"/>
      <c r="BT48" s="120"/>
    </row>
    <row r="49" spans="1:72" s="100" customFormat="1" x14ac:dyDescent="0.25">
      <c r="A49" s="88" t="s">
        <v>25</v>
      </c>
      <c r="B49" s="108">
        <v>47433</v>
      </c>
      <c r="C49" s="103">
        <v>55105</v>
      </c>
      <c r="D49" s="103"/>
      <c r="E49" s="103">
        <v>0</v>
      </c>
      <c r="F49" s="103"/>
      <c r="G49" s="103">
        <v>0</v>
      </c>
      <c r="H49" s="104"/>
      <c r="I49" s="89"/>
      <c r="J49" s="108">
        <v>49962</v>
      </c>
      <c r="K49" s="118">
        <v>50333</v>
      </c>
      <c r="L49" s="118"/>
      <c r="M49" s="118">
        <v>43089</v>
      </c>
      <c r="N49" s="118"/>
      <c r="O49" s="118">
        <v>44001</v>
      </c>
      <c r="P49" s="119"/>
      <c r="Q49" s="109"/>
      <c r="R49" s="108">
        <v>34552</v>
      </c>
      <c r="S49" s="118">
        <v>29626</v>
      </c>
      <c r="T49" s="118"/>
      <c r="U49" s="118">
        <v>36065</v>
      </c>
      <c r="V49" s="118"/>
      <c r="W49" s="118">
        <v>43781</v>
      </c>
      <c r="X49" s="119"/>
      <c r="Y49" s="109"/>
      <c r="Z49" s="108">
        <v>29533</v>
      </c>
      <c r="AA49" s="118">
        <v>29262</v>
      </c>
      <c r="AB49" s="118"/>
      <c r="AC49" s="118">
        <v>34629</v>
      </c>
      <c r="AD49" s="118"/>
      <c r="AE49" s="118">
        <v>32275</v>
      </c>
      <c r="AF49" s="119"/>
      <c r="AG49" s="109"/>
      <c r="AH49" s="108">
        <v>69064</v>
      </c>
      <c r="AI49" s="118">
        <v>64865</v>
      </c>
      <c r="AJ49" s="118"/>
      <c r="AK49" s="118">
        <v>61003</v>
      </c>
      <c r="AL49" s="118"/>
      <c r="AM49" s="118">
        <v>29964</v>
      </c>
      <c r="AN49" s="119"/>
      <c r="AO49" s="109"/>
      <c r="AP49" s="108">
        <v>112197</v>
      </c>
      <c r="AQ49" s="118">
        <v>119037</v>
      </c>
      <c r="AR49" s="118"/>
      <c r="AS49" s="118">
        <v>79534</v>
      </c>
      <c r="AT49" s="118"/>
      <c r="AU49" s="118">
        <v>78318</v>
      </c>
      <c r="AV49" s="119"/>
      <c r="AW49" s="109"/>
      <c r="AX49" s="108">
        <v>115929</v>
      </c>
      <c r="AY49" s="118">
        <v>113786</v>
      </c>
      <c r="AZ49" s="118"/>
      <c r="BA49" s="118">
        <v>116991</v>
      </c>
      <c r="BB49" s="118"/>
      <c r="BC49" s="118">
        <v>115456</v>
      </c>
      <c r="BD49" s="119"/>
      <c r="BE49" s="109"/>
      <c r="BF49" s="108">
        <v>130167</v>
      </c>
      <c r="BG49" s="118">
        <v>126033</v>
      </c>
      <c r="BH49" s="118"/>
      <c r="BI49" s="118">
        <v>117137</v>
      </c>
      <c r="BJ49" s="118"/>
      <c r="BK49" s="118">
        <v>119692</v>
      </c>
      <c r="BL49" s="119"/>
      <c r="BM49" s="109"/>
      <c r="BN49" s="108">
        <v>0</v>
      </c>
      <c r="BO49" s="103">
        <v>0</v>
      </c>
      <c r="BP49" s="118"/>
      <c r="BQ49" s="118">
        <v>118729</v>
      </c>
      <c r="BR49" s="118"/>
      <c r="BS49" s="118">
        <v>122658</v>
      </c>
      <c r="BT49" s="119"/>
    </row>
    <row r="50" spans="1:72" s="100" customFormat="1" ht="7.5" customHeight="1" x14ac:dyDescent="0.25">
      <c r="A50" s="88"/>
      <c r="B50" s="108"/>
      <c r="C50" s="103"/>
      <c r="D50" s="103"/>
      <c r="E50" s="103"/>
      <c r="F50" s="103"/>
      <c r="G50" s="103"/>
      <c r="H50" s="104"/>
      <c r="I50" s="89"/>
      <c r="J50" s="108"/>
      <c r="K50" s="118"/>
      <c r="L50" s="118"/>
      <c r="M50" s="118"/>
      <c r="N50" s="118"/>
      <c r="O50" s="118"/>
      <c r="P50" s="119"/>
      <c r="Q50" s="110"/>
      <c r="R50" s="108"/>
      <c r="S50" s="118"/>
      <c r="T50" s="118"/>
      <c r="U50" s="118"/>
      <c r="V50" s="118"/>
      <c r="W50" s="118"/>
      <c r="X50" s="119"/>
      <c r="Y50" s="110"/>
      <c r="Z50" s="108"/>
      <c r="AA50" s="118"/>
      <c r="AB50" s="118"/>
      <c r="AC50" s="118"/>
      <c r="AD50" s="118"/>
      <c r="AE50" s="118"/>
      <c r="AF50" s="119"/>
      <c r="AG50" s="110"/>
      <c r="AH50" s="108"/>
      <c r="AI50" s="118"/>
      <c r="AJ50" s="118"/>
      <c r="AK50" s="118"/>
      <c r="AL50" s="118"/>
      <c r="AM50" s="118"/>
      <c r="AN50" s="119"/>
      <c r="AO50" s="110"/>
      <c r="AP50" s="108"/>
      <c r="AQ50" s="118"/>
      <c r="AR50" s="118"/>
      <c r="AS50" s="118"/>
      <c r="AT50" s="118"/>
      <c r="AU50" s="118"/>
      <c r="AV50" s="119"/>
      <c r="AW50" s="110"/>
      <c r="AX50" s="108"/>
      <c r="AY50" s="118"/>
      <c r="AZ50" s="118"/>
      <c r="BA50" s="118"/>
      <c r="BB50" s="118"/>
      <c r="BC50" s="118"/>
      <c r="BD50" s="119"/>
      <c r="BE50" s="110"/>
      <c r="BF50" s="108"/>
      <c r="BG50" s="118"/>
      <c r="BH50" s="118"/>
      <c r="BI50" s="118"/>
      <c r="BJ50" s="118"/>
      <c r="BK50" s="118"/>
      <c r="BL50" s="119"/>
      <c r="BM50" s="110"/>
      <c r="BN50" s="108"/>
      <c r="BO50" s="103"/>
      <c r="BP50" s="118"/>
      <c r="BQ50" s="118"/>
      <c r="BR50" s="118"/>
      <c r="BS50" s="118"/>
      <c r="BT50" s="119"/>
    </row>
    <row r="51" spans="1:72" ht="15" customHeight="1" outlineLevel="1" x14ac:dyDescent="0.25">
      <c r="A51" s="42" t="s">
        <v>26</v>
      </c>
      <c r="B51" s="107">
        <v>24583</v>
      </c>
      <c r="C51" s="105">
        <v>24073</v>
      </c>
      <c r="D51" s="105"/>
      <c r="E51" s="105">
        <v>0</v>
      </c>
      <c r="F51" s="105"/>
      <c r="G51" s="105">
        <v>0</v>
      </c>
      <c r="H51" s="106"/>
      <c r="I51" s="77"/>
      <c r="J51" s="107">
        <v>29136</v>
      </c>
      <c r="K51" s="116">
        <v>29626</v>
      </c>
      <c r="L51" s="105"/>
      <c r="M51" s="116">
        <v>25635</v>
      </c>
      <c r="N51" s="105"/>
      <c r="O51" s="116">
        <v>24410</v>
      </c>
      <c r="P51" s="106"/>
      <c r="Q51" s="110"/>
      <c r="R51" s="107">
        <v>16048</v>
      </c>
      <c r="S51" s="116">
        <v>13952</v>
      </c>
      <c r="T51" s="105"/>
      <c r="U51" s="116">
        <v>16712</v>
      </c>
      <c r="V51" s="105"/>
      <c r="W51" s="116">
        <v>23184</v>
      </c>
      <c r="X51" s="106"/>
      <c r="Y51" s="110"/>
      <c r="Z51" s="107">
        <v>9346</v>
      </c>
      <c r="AA51" s="116">
        <v>11066</v>
      </c>
      <c r="AB51" s="105"/>
      <c r="AC51" s="116">
        <v>16509</v>
      </c>
      <c r="AD51" s="105"/>
      <c r="AE51" s="116">
        <v>17687</v>
      </c>
      <c r="AF51" s="106"/>
      <c r="AG51" s="110"/>
      <c r="AH51" s="107">
        <v>22749</v>
      </c>
      <c r="AI51" s="116">
        <v>22219</v>
      </c>
      <c r="AJ51" s="105"/>
      <c r="AK51" s="116">
        <v>20109</v>
      </c>
      <c r="AL51" s="105"/>
      <c r="AM51" s="116">
        <v>14944</v>
      </c>
      <c r="AN51" s="106"/>
      <c r="AO51" s="110"/>
      <c r="AP51" s="107">
        <v>65193</v>
      </c>
      <c r="AQ51" s="116">
        <v>71156</v>
      </c>
      <c r="AR51" s="105"/>
      <c r="AS51" s="116">
        <v>75233</v>
      </c>
      <c r="AT51" s="105"/>
      <c r="AU51" s="116">
        <v>26534</v>
      </c>
      <c r="AV51" s="106"/>
      <c r="AW51" s="110"/>
      <c r="AX51" s="107">
        <v>69149</v>
      </c>
      <c r="AY51" s="116">
        <v>67679</v>
      </c>
      <c r="AZ51" s="105"/>
      <c r="BA51" s="116">
        <v>71065</v>
      </c>
      <c r="BB51" s="105"/>
      <c r="BC51" s="116">
        <v>71009</v>
      </c>
      <c r="BD51" s="106"/>
      <c r="BE51" s="110"/>
      <c r="BF51" s="107">
        <v>68723</v>
      </c>
      <c r="BG51" s="116">
        <v>72490</v>
      </c>
      <c r="BH51" s="105"/>
      <c r="BI51" s="116">
        <v>68977</v>
      </c>
      <c r="BJ51" s="105"/>
      <c r="BK51" s="116">
        <v>71355</v>
      </c>
      <c r="BL51" s="106"/>
      <c r="BM51" s="110"/>
      <c r="BN51" s="107">
        <v>0</v>
      </c>
      <c r="BO51" s="105">
        <v>0</v>
      </c>
      <c r="BP51" s="105"/>
      <c r="BQ51" s="116">
        <v>69621</v>
      </c>
      <c r="BR51" s="105"/>
      <c r="BS51" s="116">
        <v>69700</v>
      </c>
      <c r="BT51" s="106"/>
    </row>
    <row r="52" spans="1:72" ht="15" customHeight="1" outlineLevel="1" x14ac:dyDescent="0.25">
      <c r="A52" s="42" t="s">
        <v>28</v>
      </c>
      <c r="B52" s="107">
        <v>10254</v>
      </c>
      <c r="C52" s="105">
        <v>17389</v>
      </c>
      <c r="D52" s="105"/>
      <c r="E52" s="105">
        <v>0</v>
      </c>
      <c r="F52" s="105"/>
      <c r="G52" s="105">
        <v>0</v>
      </c>
      <c r="H52" s="106"/>
      <c r="I52" s="77"/>
      <c r="J52" s="107">
        <v>10320</v>
      </c>
      <c r="K52" s="116">
        <v>9768</v>
      </c>
      <c r="L52" s="105"/>
      <c r="M52" s="116">
        <v>6691</v>
      </c>
      <c r="N52" s="105"/>
      <c r="O52" s="116">
        <v>8165</v>
      </c>
      <c r="P52" s="106"/>
      <c r="Q52" s="110"/>
      <c r="R52" s="107">
        <v>7825</v>
      </c>
      <c r="S52" s="116">
        <v>5656</v>
      </c>
      <c r="T52" s="105"/>
      <c r="U52" s="116">
        <v>9642</v>
      </c>
      <c r="V52" s="105"/>
      <c r="W52" s="116">
        <v>10935</v>
      </c>
      <c r="X52" s="106"/>
      <c r="Y52" s="110"/>
      <c r="Z52" s="107">
        <v>8727</v>
      </c>
      <c r="AA52" s="116">
        <v>7877</v>
      </c>
      <c r="AB52" s="105"/>
      <c r="AC52" s="116">
        <v>8321</v>
      </c>
      <c r="AD52" s="105"/>
      <c r="AE52" s="116">
        <v>4873</v>
      </c>
      <c r="AF52" s="106"/>
      <c r="AG52" s="110"/>
      <c r="AH52" s="107">
        <v>16248</v>
      </c>
      <c r="AI52" s="116">
        <v>13880</v>
      </c>
      <c r="AJ52" s="105"/>
      <c r="AK52" s="116">
        <v>12564</v>
      </c>
      <c r="AL52" s="105"/>
      <c r="AM52" s="116">
        <v>5580</v>
      </c>
      <c r="AN52" s="106"/>
      <c r="AO52" s="110"/>
      <c r="AP52" s="107">
        <v>18534</v>
      </c>
      <c r="AQ52" s="116">
        <v>19654</v>
      </c>
      <c r="AR52" s="105"/>
      <c r="AS52" s="116">
        <v>19286</v>
      </c>
      <c r="AT52" s="105"/>
      <c r="AU52" s="116">
        <v>13970</v>
      </c>
      <c r="AV52" s="106"/>
      <c r="AW52" s="110"/>
      <c r="AX52" s="107">
        <v>18668</v>
      </c>
      <c r="AY52" s="116">
        <v>17933</v>
      </c>
      <c r="AZ52" s="105"/>
      <c r="BA52" s="116">
        <v>18005</v>
      </c>
      <c r="BB52" s="105"/>
      <c r="BC52" s="116">
        <v>16690</v>
      </c>
      <c r="BD52" s="106"/>
      <c r="BE52" s="110"/>
      <c r="BF52" s="107">
        <v>31475</v>
      </c>
      <c r="BG52" s="116">
        <v>23702</v>
      </c>
      <c r="BH52" s="105"/>
      <c r="BI52" s="116">
        <v>19152</v>
      </c>
      <c r="BJ52" s="105"/>
      <c r="BK52" s="116">
        <v>20553</v>
      </c>
      <c r="BL52" s="106"/>
      <c r="BM52" s="110"/>
      <c r="BN52" s="107">
        <v>0</v>
      </c>
      <c r="BO52" s="105">
        <v>0</v>
      </c>
      <c r="BP52" s="105"/>
      <c r="BQ52" s="116">
        <v>20383</v>
      </c>
      <c r="BR52" s="105"/>
      <c r="BS52" s="116">
        <v>24137</v>
      </c>
      <c r="BT52" s="106"/>
    </row>
    <row r="53" spans="1:72" s="100" customFormat="1" x14ac:dyDescent="0.25">
      <c r="A53" s="88" t="s">
        <v>29</v>
      </c>
      <c r="B53" s="108">
        <v>34837</v>
      </c>
      <c r="C53" s="103">
        <v>41462</v>
      </c>
      <c r="D53" s="103"/>
      <c r="E53" s="103">
        <v>0</v>
      </c>
      <c r="F53" s="103"/>
      <c r="G53" s="103">
        <v>0</v>
      </c>
      <c r="H53" s="104"/>
      <c r="I53" s="89"/>
      <c r="J53" s="108">
        <v>39456</v>
      </c>
      <c r="K53" s="118">
        <v>39394</v>
      </c>
      <c r="L53" s="103"/>
      <c r="M53" s="118">
        <v>32326</v>
      </c>
      <c r="N53" s="103"/>
      <c r="O53" s="118">
        <v>32575</v>
      </c>
      <c r="P53" s="104"/>
      <c r="Q53" s="109"/>
      <c r="R53" s="108">
        <v>23873</v>
      </c>
      <c r="S53" s="118">
        <v>19608</v>
      </c>
      <c r="T53" s="103"/>
      <c r="U53" s="118">
        <v>26354</v>
      </c>
      <c r="V53" s="103"/>
      <c r="W53" s="118">
        <v>34119</v>
      </c>
      <c r="X53" s="104"/>
      <c r="Y53" s="109"/>
      <c r="Z53" s="108">
        <v>18073</v>
      </c>
      <c r="AA53" s="118">
        <v>18943</v>
      </c>
      <c r="AB53" s="103"/>
      <c r="AC53" s="118">
        <v>24830</v>
      </c>
      <c r="AD53" s="103"/>
      <c r="AE53" s="118">
        <v>22560</v>
      </c>
      <c r="AF53" s="104"/>
      <c r="AG53" s="109"/>
      <c r="AH53" s="108">
        <v>38997</v>
      </c>
      <c r="AI53" s="118">
        <v>36099</v>
      </c>
      <c r="AJ53" s="103"/>
      <c r="AK53" s="118">
        <v>32673</v>
      </c>
      <c r="AL53" s="103"/>
      <c r="AM53" s="118">
        <v>20524</v>
      </c>
      <c r="AN53" s="104"/>
      <c r="AO53" s="109"/>
      <c r="AP53" s="108">
        <v>83727</v>
      </c>
      <c r="AQ53" s="118">
        <v>90810</v>
      </c>
      <c r="AR53" s="103"/>
      <c r="AS53" s="118">
        <v>94519</v>
      </c>
      <c r="AT53" s="103"/>
      <c r="AU53" s="118">
        <v>40504</v>
      </c>
      <c r="AV53" s="104"/>
      <c r="AW53" s="109"/>
      <c r="AX53" s="108">
        <v>87817</v>
      </c>
      <c r="AY53" s="118">
        <v>85612</v>
      </c>
      <c r="AZ53" s="103"/>
      <c r="BA53" s="118">
        <v>89070</v>
      </c>
      <c r="BB53" s="103"/>
      <c r="BC53" s="118">
        <v>87699</v>
      </c>
      <c r="BD53" s="104"/>
      <c r="BE53" s="109"/>
      <c r="BF53" s="108">
        <v>100198</v>
      </c>
      <c r="BG53" s="118">
        <v>96192</v>
      </c>
      <c r="BH53" s="103"/>
      <c r="BI53" s="118">
        <v>88129</v>
      </c>
      <c r="BJ53" s="103"/>
      <c r="BK53" s="118">
        <v>91908</v>
      </c>
      <c r="BL53" s="104"/>
      <c r="BM53" s="109"/>
      <c r="BN53" s="108">
        <v>0</v>
      </c>
      <c r="BO53" s="103">
        <v>0</v>
      </c>
      <c r="BP53" s="103"/>
      <c r="BQ53" s="118">
        <v>90004</v>
      </c>
      <c r="BR53" s="103"/>
      <c r="BS53" s="118">
        <v>93837</v>
      </c>
      <c r="BT53" s="104"/>
    </row>
    <row r="54" spans="1:72" s="100" customFormat="1" ht="7.5" customHeight="1" x14ac:dyDescent="0.25">
      <c r="A54" s="88"/>
      <c r="B54" s="108"/>
      <c r="C54" s="103"/>
      <c r="D54" s="103"/>
      <c r="E54" s="103"/>
      <c r="F54" s="103"/>
      <c r="G54" s="103"/>
      <c r="H54" s="104"/>
      <c r="I54" s="89"/>
      <c r="J54" s="108"/>
      <c r="K54" s="118"/>
      <c r="L54" s="103"/>
      <c r="M54" s="118"/>
      <c r="N54" s="103"/>
      <c r="O54" s="118"/>
      <c r="P54" s="104"/>
      <c r="Q54" s="110"/>
      <c r="R54" s="108"/>
      <c r="S54" s="118"/>
      <c r="T54" s="103"/>
      <c r="U54" s="118"/>
      <c r="V54" s="103"/>
      <c r="W54" s="118"/>
      <c r="X54" s="104"/>
      <c r="Y54" s="110"/>
      <c r="Z54" s="108"/>
      <c r="AA54" s="118"/>
      <c r="AB54" s="103"/>
      <c r="AC54" s="118"/>
      <c r="AD54" s="103"/>
      <c r="AE54" s="118"/>
      <c r="AF54" s="104"/>
      <c r="AG54" s="110"/>
      <c r="AH54" s="108"/>
      <c r="AI54" s="118"/>
      <c r="AJ54" s="103"/>
      <c r="AK54" s="118"/>
      <c r="AL54" s="103"/>
      <c r="AM54" s="118"/>
      <c r="AN54" s="104"/>
      <c r="AO54" s="110"/>
      <c r="AP54" s="108"/>
      <c r="AQ54" s="118"/>
      <c r="AR54" s="103"/>
      <c r="AS54" s="118"/>
      <c r="AT54" s="103"/>
      <c r="AU54" s="118"/>
      <c r="AV54" s="104"/>
      <c r="AW54" s="110"/>
      <c r="AX54" s="108"/>
      <c r="AY54" s="118"/>
      <c r="AZ54" s="103"/>
      <c r="BA54" s="118"/>
      <c r="BB54" s="103"/>
      <c r="BC54" s="118"/>
      <c r="BD54" s="104"/>
      <c r="BE54" s="110"/>
      <c r="BF54" s="108"/>
      <c r="BG54" s="118"/>
      <c r="BH54" s="103"/>
      <c r="BI54" s="118"/>
      <c r="BJ54" s="103"/>
      <c r="BK54" s="118"/>
      <c r="BL54" s="104"/>
      <c r="BM54" s="110"/>
      <c r="BN54" s="108"/>
      <c r="BO54" s="103"/>
      <c r="BP54" s="103"/>
      <c r="BQ54" s="118"/>
      <c r="BR54" s="103"/>
      <c r="BS54" s="118"/>
      <c r="BT54" s="104"/>
    </row>
    <row r="55" spans="1:72" s="100" customFormat="1" x14ac:dyDescent="0.25">
      <c r="A55" s="88" t="s">
        <v>36</v>
      </c>
      <c r="B55" s="108">
        <v>12596</v>
      </c>
      <c r="C55" s="103">
        <v>13643</v>
      </c>
      <c r="D55" s="103"/>
      <c r="E55" s="103">
        <v>0</v>
      </c>
      <c r="F55" s="103"/>
      <c r="G55" s="103">
        <v>0</v>
      </c>
      <c r="H55" s="104"/>
      <c r="I55" s="89"/>
      <c r="J55" s="108">
        <v>10506</v>
      </c>
      <c r="K55" s="118">
        <v>10939</v>
      </c>
      <c r="L55" s="103"/>
      <c r="M55" s="118">
        <v>10763</v>
      </c>
      <c r="N55" s="103"/>
      <c r="O55" s="118">
        <v>11426</v>
      </c>
      <c r="P55" s="104"/>
      <c r="Q55" s="109"/>
      <c r="R55" s="108">
        <v>10679</v>
      </c>
      <c r="S55" s="118">
        <v>10018</v>
      </c>
      <c r="T55" s="103"/>
      <c r="U55" s="118">
        <v>9711</v>
      </c>
      <c r="V55" s="103"/>
      <c r="W55" s="118">
        <v>9662</v>
      </c>
      <c r="X55" s="104"/>
      <c r="Y55" s="109"/>
      <c r="Z55" s="108">
        <v>11460</v>
      </c>
      <c r="AA55" s="118">
        <v>10319</v>
      </c>
      <c r="AB55" s="103"/>
      <c r="AC55" s="118">
        <v>9799</v>
      </c>
      <c r="AD55" s="103"/>
      <c r="AE55" s="118">
        <v>9715</v>
      </c>
      <c r="AF55" s="104"/>
      <c r="AG55" s="109"/>
      <c r="AH55" s="108">
        <v>30067</v>
      </c>
      <c r="AI55" s="118">
        <v>28766</v>
      </c>
      <c r="AJ55" s="103"/>
      <c r="AK55" s="118">
        <v>28330</v>
      </c>
      <c r="AL55" s="103"/>
      <c r="AM55" s="118">
        <v>9440</v>
      </c>
      <c r="AN55" s="104"/>
      <c r="AO55" s="109"/>
      <c r="AP55" s="108">
        <v>28470</v>
      </c>
      <c r="AQ55" s="118">
        <v>28227</v>
      </c>
      <c r="AR55" s="103"/>
      <c r="AS55" s="118">
        <v>-14985</v>
      </c>
      <c r="AT55" s="103"/>
      <c r="AU55" s="118">
        <v>37814</v>
      </c>
      <c r="AV55" s="104"/>
      <c r="AW55" s="109"/>
      <c r="AX55" s="108">
        <v>28112</v>
      </c>
      <c r="AY55" s="118">
        <v>28174</v>
      </c>
      <c r="AZ55" s="103"/>
      <c r="BA55" s="118">
        <v>27921</v>
      </c>
      <c r="BB55" s="103"/>
      <c r="BC55" s="118">
        <v>27757</v>
      </c>
      <c r="BD55" s="104"/>
      <c r="BE55" s="109"/>
      <c r="BF55" s="108">
        <v>29969</v>
      </c>
      <c r="BG55" s="118">
        <v>29841</v>
      </c>
      <c r="BH55" s="103"/>
      <c r="BI55" s="118">
        <v>29008</v>
      </c>
      <c r="BJ55" s="103"/>
      <c r="BK55" s="118">
        <v>27784</v>
      </c>
      <c r="BL55" s="104"/>
      <c r="BM55" s="109"/>
      <c r="BN55" s="108">
        <v>0</v>
      </c>
      <c r="BO55" s="103">
        <v>0</v>
      </c>
      <c r="BP55" s="103"/>
      <c r="BQ55" s="118">
        <v>28725</v>
      </c>
      <c r="BR55" s="103"/>
      <c r="BS55" s="118">
        <v>28821</v>
      </c>
      <c r="BT55" s="104"/>
    </row>
    <row r="56" spans="1:72" ht="7.5" customHeight="1" x14ac:dyDescent="0.25">
      <c r="A56" s="42"/>
      <c r="B56" s="108"/>
      <c r="C56" s="103"/>
      <c r="D56" s="103"/>
      <c r="E56" s="103"/>
      <c r="F56" s="103"/>
      <c r="G56" s="103"/>
      <c r="H56" s="104"/>
      <c r="I56" s="77"/>
      <c r="J56" s="108"/>
      <c r="K56" s="116"/>
      <c r="L56" s="116"/>
      <c r="M56" s="116"/>
      <c r="N56" s="116"/>
      <c r="O56" s="116"/>
      <c r="P56" s="117"/>
      <c r="Q56" s="77"/>
      <c r="R56" s="108"/>
      <c r="S56" s="116"/>
      <c r="T56" s="116"/>
      <c r="U56" s="116"/>
      <c r="V56" s="116"/>
      <c r="W56" s="116"/>
      <c r="X56" s="117"/>
      <c r="Y56" s="77"/>
      <c r="Z56" s="108"/>
      <c r="AA56" s="116"/>
      <c r="AB56" s="116"/>
      <c r="AC56" s="116"/>
      <c r="AD56" s="116"/>
      <c r="AE56" s="116"/>
      <c r="AF56" s="117"/>
      <c r="AG56" s="110"/>
      <c r="AH56" s="108">
        <v>0</v>
      </c>
      <c r="AI56" s="116">
        <v>0</v>
      </c>
      <c r="AJ56" s="116"/>
      <c r="AK56" s="116">
        <v>0</v>
      </c>
      <c r="AL56" s="116"/>
      <c r="AM56" s="116">
        <v>0</v>
      </c>
      <c r="AN56" s="117"/>
      <c r="AO56" s="110"/>
      <c r="AP56" s="108"/>
      <c r="AQ56" s="116"/>
      <c r="AR56" s="116"/>
      <c r="AS56" s="116"/>
      <c r="AT56" s="116"/>
      <c r="AU56" s="116"/>
      <c r="AV56" s="117"/>
      <c r="AW56" s="110"/>
      <c r="AX56" s="108"/>
      <c r="AY56" s="116"/>
      <c r="AZ56" s="116"/>
      <c r="BA56" s="116"/>
      <c r="BB56" s="116"/>
      <c r="BC56" s="116"/>
      <c r="BD56" s="117"/>
      <c r="BE56" s="110"/>
      <c r="BF56" s="108"/>
      <c r="BG56" s="116"/>
      <c r="BH56" s="116"/>
      <c r="BI56" s="116"/>
      <c r="BJ56" s="116"/>
      <c r="BK56" s="116"/>
      <c r="BL56" s="117"/>
      <c r="BM56" s="110"/>
      <c r="BN56" s="108"/>
      <c r="BO56" s="103"/>
      <c r="BP56" s="116"/>
      <c r="BQ56" s="116"/>
      <c r="BR56" s="116"/>
      <c r="BS56" s="116"/>
      <c r="BT56" s="117"/>
    </row>
    <row r="57" spans="1:72" s="100" customFormat="1" x14ac:dyDescent="0.25">
      <c r="A57" s="88" t="s">
        <v>66</v>
      </c>
      <c r="B57" s="108">
        <v>63</v>
      </c>
      <c r="C57" s="103">
        <v>147</v>
      </c>
      <c r="D57" s="103"/>
      <c r="E57" s="103">
        <v>311</v>
      </c>
      <c r="F57" s="103"/>
      <c r="G57" s="103">
        <v>0</v>
      </c>
      <c r="H57" s="104"/>
      <c r="I57" s="89"/>
      <c r="J57" s="108">
        <v>43</v>
      </c>
      <c r="K57" s="118">
        <v>145</v>
      </c>
      <c r="L57" s="118"/>
      <c r="M57" s="118">
        <v>335</v>
      </c>
      <c r="N57" s="118"/>
      <c r="O57" s="118">
        <v>504</v>
      </c>
      <c r="P57" s="119"/>
      <c r="Q57" s="110"/>
      <c r="R57" s="108">
        <v>113</v>
      </c>
      <c r="S57" s="118">
        <v>198</v>
      </c>
      <c r="T57" s="118"/>
      <c r="U57" s="118">
        <v>269</v>
      </c>
      <c r="V57" s="118"/>
      <c r="W57" s="118">
        <v>298</v>
      </c>
      <c r="X57" s="119"/>
      <c r="Y57" s="110"/>
      <c r="Z57" s="108">
        <v>22</v>
      </c>
      <c r="AA57" s="118">
        <v>-191</v>
      </c>
      <c r="AB57" s="118"/>
      <c r="AC57" s="118">
        <v>-157</v>
      </c>
      <c r="AD57" s="118"/>
      <c r="AE57" s="118">
        <v>-133</v>
      </c>
      <c r="AF57" s="119"/>
      <c r="AG57" s="110"/>
      <c r="AH57" s="108">
        <v>-52</v>
      </c>
      <c r="AI57" s="118">
        <v>-62</v>
      </c>
      <c r="AJ57" s="118"/>
      <c r="AK57" s="118">
        <v>-35</v>
      </c>
      <c r="AL57" s="118"/>
      <c r="AM57" s="118">
        <v>-91</v>
      </c>
      <c r="AN57" s="119"/>
      <c r="AO57" s="110"/>
      <c r="AP57" s="108">
        <v>12</v>
      </c>
      <c r="AQ57" s="118">
        <v>22</v>
      </c>
      <c r="AR57" s="118"/>
      <c r="AS57" s="118">
        <v>173</v>
      </c>
      <c r="AT57" s="118"/>
      <c r="AU57" s="118">
        <v>236</v>
      </c>
      <c r="AV57" s="119"/>
      <c r="AW57" s="110"/>
      <c r="AX57" s="108">
        <v>378</v>
      </c>
      <c r="AY57" s="118">
        <v>322</v>
      </c>
      <c r="AZ57" s="118"/>
      <c r="BA57" s="118">
        <v>488</v>
      </c>
      <c r="BB57" s="118"/>
      <c r="BC57" s="118">
        <v>501</v>
      </c>
      <c r="BD57" s="119"/>
      <c r="BE57" s="110"/>
      <c r="BF57" s="108">
        <v>43</v>
      </c>
      <c r="BG57" s="118">
        <v>49</v>
      </c>
      <c r="BH57" s="118"/>
      <c r="BI57" s="118">
        <v>173</v>
      </c>
      <c r="BJ57" s="118"/>
      <c r="BK57" s="118">
        <v>1438</v>
      </c>
      <c r="BL57" s="119"/>
      <c r="BM57" s="110"/>
      <c r="BN57" s="108">
        <v>0</v>
      </c>
      <c r="BO57" s="103">
        <v>0</v>
      </c>
      <c r="BP57" s="118"/>
      <c r="BQ57" s="103">
        <v>23</v>
      </c>
      <c r="BR57" s="118"/>
      <c r="BS57" s="103">
        <v>140</v>
      </c>
      <c r="BT57" s="119"/>
    </row>
    <row r="58" spans="1:72" s="100" customFormat="1" ht="7.5" customHeight="1" x14ac:dyDescent="0.25">
      <c r="A58" s="88"/>
      <c r="B58" s="108"/>
      <c r="C58" s="103"/>
      <c r="D58" s="103"/>
      <c r="E58" s="103"/>
      <c r="F58" s="103"/>
      <c r="G58" s="103"/>
      <c r="H58" s="104"/>
      <c r="I58" s="89"/>
      <c r="J58" s="108"/>
      <c r="K58" s="118"/>
      <c r="L58" s="118"/>
      <c r="M58" s="109"/>
      <c r="N58" s="118"/>
      <c r="O58" s="118"/>
      <c r="P58" s="119"/>
      <c r="Q58" s="110"/>
      <c r="R58" s="108"/>
      <c r="S58" s="118"/>
      <c r="T58" s="118"/>
      <c r="U58" s="109"/>
      <c r="V58" s="118"/>
      <c r="W58" s="118"/>
      <c r="X58" s="119"/>
      <c r="Y58" s="110"/>
      <c r="Z58" s="108"/>
      <c r="AA58" s="118"/>
      <c r="AB58" s="118"/>
      <c r="AC58" s="109"/>
      <c r="AD58" s="118"/>
      <c r="AE58" s="118"/>
      <c r="AF58" s="119"/>
      <c r="AG58" s="110"/>
      <c r="AH58" s="108"/>
      <c r="AI58" s="118"/>
      <c r="AJ58" s="118"/>
      <c r="AK58" s="109"/>
      <c r="AL58" s="118"/>
      <c r="AM58" s="118"/>
      <c r="AN58" s="119"/>
      <c r="AO58" s="110"/>
      <c r="AP58" s="108"/>
      <c r="AQ58" s="118"/>
      <c r="AR58" s="118"/>
      <c r="AS58" s="109"/>
      <c r="AT58" s="118"/>
      <c r="AU58" s="118"/>
      <c r="AV58" s="119"/>
      <c r="AW58" s="110"/>
      <c r="AX58" s="108"/>
      <c r="AY58" s="118"/>
      <c r="AZ58" s="118"/>
      <c r="BA58" s="109"/>
      <c r="BB58" s="118"/>
      <c r="BC58" s="118"/>
      <c r="BD58" s="119"/>
      <c r="BE58" s="110"/>
      <c r="BF58" s="108"/>
      <c r="BG58" s="118"/>
      <c r="BH58" s="118"/>
      <c r="BI58" s="109"/>
      <c r="BJ58" s="118"/>
      <c r="BK58" s="118"/>
      <c r="BL58" s="119"/>
      <c r="BM58" s="110"/>
      <c r="BN58" s="108"/>
      <c r="BO58" s="118"/>
      <c r="BP58" s="118"/>
      <c r="BQ58" s="118"/>
      <c r="BR58" s="118"/>
      <c r="BS58" s="118"/>
      <c r="BT58" s="119"/>
    </row>
    <row r="59" spans="1:72" s="100" customFormat="1" x14ac:dyDescent="0.25">
      <c r="A59" s="121" t="s">
        <v>67</v>
      </c>
      <c r="B59" s="108"/>
      <c r="C59" s="103"/>
      <c r="D59" s="103"/>
      <c r="E59" s="103"/>
      <c r="F59" s="103"/>
      <c r="G59" s="103"/>
      <c r="H59" s="104"/>
      <c r="I59" s="89"/>
      <c r="J59" s="108"/>
      <c r="K59" s="109"/>
      <c r="L59" s="118"/>
      <c r="M59" s="109"/>
      <c r="N59" s="118"/>
      <c r="O59" s="109"/>
      <c r="P59" s="119"/>
      <c r="Q59" s="110"/>
      <c r="R59" s="108"/>
      <c r="S59" s="109"/>
      <c r="T59" s="118"/>
      <c r="U59" s="109"/>
      <c r="V59" s="118"/>
      <c r="W59" s="118"/>
      <c r="X59" s="119"/>
      <c r="Y59" s="110"/>
      <c r="Z59" s="108"/>
      <c r="AA59" s="109"/>
      <c r="AB59" s="118"/>
      <c r="AC59" s="109"/>
      <c r="AD59" s="118"/>
      <c r="AE59" s="109"/>
      <c r="AF59" s="119"/>
      <c r="AG59" s="110"/>
      <c r="AH59" s="108"/>
      <c r="AI59" s="109"/>
      <c r="AJ59" s="118"/>
      <c r="AK59" s="109"/>
      <c r="AL59" s="118"/>
      <c r="AM59" s="109"/>
      <c r="AN59" s="119"/>
      <c r="AO59" s="110"/>
      <c r="AP59" s="108"/>
      <c r="AQ59" s="109"/>
      <c r="AR59" s="118"/>
      <c r="AS59" s="109"/>
      <c r="AT59" s="118"/>
      <c r="AU59" s="109"/>
      <c r="AV59" s="119"/>
      <c r="AW59" s="110"/>
      <c r="AX59" s="108"/>
      <c r="AY59" s="109"/>
      <c r="AZ59" s="118"/>
      <c r="BA59" s="109"/>
      <c r="BB59" s="118"/>
      <c r="BC59" s="109"/>
      <c r="BD59" s="119"/>
      <c r="BE59" s="110"/>
      <c r="BF59" s="108"/>
      <c r="BG59" s="109"/>
      <c r="BH59" s="118"/>
      <c r="BI59" s="109"/>
      <c r="BJ59" s="118"/>
      <c r="BK59" s="109"/>
      <c r="BL59" s="119"/>
      <c r="BM59" s="110"/>
      <c r="BN59" s="108"/>
      <c r="BO59" s="103"/>
      <c r="BP59" s="118"/>
      <c r="BQ59" s="103"/>
      <c r="BR59" s="118"/>
      <c r="BS59" s="103"/>
      <c r="BT59" s="119"/>
    </row>
    <row r="60" spans="1:72" s="100" customFormat="1" x14ac:dyDescent="0.25">
      <c r="A60" s="88" t="s">
        <v>68</v>
      </c>
      <c r="B60" s="108"/>
      <c r="C60" s="103"/>
      <c r="D60" s="103"/>
      <c r="E60" s="103"/>
      <c r="F60" s="103"/>
      <c r="G60" s="125"/>
      <c r="H60" s="145"/>
      <c r="I60" s="125"/>
      <c r="J60" s="146"/>
      <c r="K60" s="125"/>
      <c r="L60" s="123"/>
      <c r="M60" s="125"/>
      <c r="N60" s="123"/>
      <c r="O60" s="125">
        <v>0.999</v>
      </c>
      <c r="P60" s="147"/>
      <c r="Q60" s="148"/>
      <c r="R60" s="146"/>
      <c r="S60" s="125"/>
      <c r="T60" s="123"/>
      <c r="U60" s="125"/>
      <c r="V60" s="123"/>
      <c r="W60" s="125">
        <v>0.999</v>
      </c>
      <c r="X60" s="147"/>
      <c r="Y60" s="148"/>
      <c r="Z60" s="146"/>
      <c r="AA60" s="125"/>
      <c r="AB60" s="123"/>
      <c r="AC60" s="125"/>
      <c r="AD60" s="123"/>
      <c r="AE60" s="125">
        <v>0.999</v>
      </c>
      <c r="AF60" s="147"/>
      <c r="AG60" s="148"/>
      <c r="AH60" s="146"/>
      <c r="AI60" s="125"/>
      <c r="AJ60" s="123"/>
      <c r="AK60" s="125"/>
      <c r="AL60" s="123"/>
      <c r="AM60" s="125">
        <v>0.999</v>
      </c>
      <c r="AN60" s="147"/>
      <c r="AO60" s="148"/>
      <c r="AP60" s="146"/>
      <c r="AQ60" s="125"/>
      <c r="AR60" s="123"/>
      <c r="AS60" s="125"/>
      <c r="AT60" s="123"/>
      <c r="AU60" s="125">
        <v>0.999</v>
      </c>
      <c r="AV60" s="147"/>
      <c r="AW60" s="148"/>
      <c r="AX60" s="146"/>
      <c r="AY60" s="125"/>
      <c r="AZ60" s="123"/>
      <c r="BA60" s="125"/>
      <c r="BB60" s="123"/>
      <c r="BC60" s="125">
        <v>0.93899999999999995</v>
      </c>
      <c r="BD60" s="147"/>
      <c r="BE60" s="148"/>
      <c r="BF60" s="146"/>
      <c r="BG60" s="125"/>
      <c r="BH60" s="123"/>
      <c r="BI60" s="125"/>
      <c r="BJ60" s="123"/>
      <c r="BK60" s="125">
        <v>0.93899999999999995</v>
      </c>
      <c r="BL60" s="147"/>
      <c r="BM60" s="148"/>
      <c r="BN60" s="146"/>
      <c r="BO60" s="123"/>
      <c r="BP60" s="123"/>
      <c r="BQ60" s="123"/>
      <c r="BR60" s="123"/>
      <c r="BS60" s="125">
        <v>0.93899999999999995</v>
      </c>
      <c r="BT60" s="147"/>
    </row>
    <row r="61" spans="1:72" s="100" customFormat="1" ht="15.75" thickBot="1" x14ac:dyDescent="0.3">
      <c r="A61" s="127" t="s">
        <v>69</v>
      </c>
      <c r="B61" s="128"/>
      <c r="C61" s="129"/>
      <c r="D61" s="129"/>
      <c r="E61" s="129"/>
      <c r="F61" s="129"/>
      <c r="G61" s="136"/>
      <c r="H61" s="149"/>
      <c r="I61" s="136"/>
      <c r="J61" s="150"/>
      <c r="K61" s="136"/>
      <c r="L61" s="130"/>
      <c r="M61" s="136"/>
      <c r="N61" s="130"/>
      <c r="O61" s="136">
        <v>0.999</v>
      </c>
      <c r="P61" s="151"/>
      <c r="Q61" s="152"/>
      <c r="R61" s="150"/>
      <c r="S61" s="136"/>
      <c r="T61" s="130"/>
      <c r="U61" s="136"/>
      <c r="V61" s="130"/>
      <c r="W61" s="136">
        <v>0.999</v>
      </c>
      <c r="X61" s="151"/>
      <c r="Y61" s="152"/>
      <c r="Z61" s="150"/>
      <c r="AA61" s="136"/>
      <c r="AB61" s="130"/>
      <c r="AC61" s="136"/>
      <c r="AD61" s="130"/>
      <c r="AE61" s="136">
        <v>0.999</v>
      </c>
      <c r="AF61" s="151"/>
      <c r="AG61" s="152"/>
      <c r="AH61" s="150"/>
      <c r="AI61" s="136"/>
      <c r="AJ61" s="130"/>
      <c r="AK61" s="136"/>
      <c r="AL61" s="130"/>
      <c r="AM61" s="136">
        <v>0.999</v>
      </c>
      <c r="AN61" s="151"/>
      <c r="AO61" s="130"/>
      <c r="AP61" s="150"/>
      <c r="AQ61" s="136"/>
      <c r="AR61" s="130"/>
      <c r="AS61" s="136"/>
      <c r="AT61" s="130"/>
      <c r="AU61" s="136">
        <v>0.91400000000000003</v>
      </c>
      <c r="AV61" s="151"/>
      <c r="AW61" s="130"/>
      <c r="AX61" s="150"/>
      <c r="AY61" s="136"/>
      <c r="AZ61" s="130"/>
      <c r="BA61" s="136"/>
      <c r="BB61" s="130"/>
      <c r="BC61" s="136">
        <v>0.84499999999999997</v>
      </c>
      <c r="BD61" s="151"/>
      <c r="BE61" s="130"/>
      <c r="BF61" s="150"/>
      <c r="BG61" s="136"/>
      <c r="BH61" s="130"/>
      <c r="BI61" s="136"/>
      <c r="BJ61" s="130"/>
      <c r="BK61" s="136">
        <v>0.84499999999999997</v>
      </c>
      <c r="BL61" s="151"/>
      <c r="BM61" s="130"/>
      <c r="BN61" s="150"/>
      <c r="BO61" s="130"/>
      <c r="BP61" s="130"/>
      <c r="BQ61" s="130"/>
      <c r="BR61" s="130"/>
      <c r="BS61" s="136"/>
      <c r="BT61" s="151"/>
    </row>
    <row r="73" spans="66:67" x14ac:dyDescent="0.25">
      <c r="BN73" s="144">
        <v>0</v>
      </c>
      <c r="BO73" s="144">
        <v>0</v>
      </c>
    </row>
    <row r="74" spans="66:67" x14ac:dyDescent="0.25">
      <c r="BN74" s="144">
        <v>0</v>
      </c>
      <c r="BO74" s="144">
        <v>0</v>
      </c>
    </row>
    <row r="75" spans="66:67" x14ac:dyDescent="0.25">
      <c r="BN75" s="144">
        <v>0</v>
      </c>
      <c r="BO75" s="144">
        <v>0</v>
      </c>
    </row>
    <row r="76" spans="66:67" x14ac:dyDescent="0.25">
      <c r="BN76" s="144"/>
      <c r="BO76" s="144"/>
    </row>
    <row r="77" spans="66:67" x14ac:dyDescent="0.25">
      <c r="BN77" s="144"/>
      <c r="BO77" s="144"/>
    </row>
    <row r="78" spans="66:67" x14ac:dyDescent="0.25">
      <c r="BN78" s="144"/>
      <c r="BO78" s="144"/>
    </row>
    <row r="79" spans="66:67" x14ac:dyDescent="0.25">
      <c r="BN79" s="144">
        <v>0</v>
      </c>
      <c r="BO79" s="144">
        <v>0</v>
      </c>
    </row>
  </sheetData>
  <pageMargins left="0.7" right="0.7" top="0.75" bottom="0.75" header="0.3" footer="0.3"/>
  <pageSetup scale="14"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59999389629810485"/>
  </sheetPr>
  <dimension ref="A1:P60"/>
  <sheetViews>
    <sheetView workbookViewId="0"/>
  </sheetViews>
  <sheetFormatPr defaultColWidth="9.140625" defaultRowHeight="15" outlineLevelRow="1" outlineLevelCol="1" x14ac:dyDescent="0.25"/>
  <cols>
    <col min="1" max="1" width="40.140625" style="95" customWidth="1"/>
    <col min="2" max="4" width="8" style="95" customWidth="1"/>
    <col min="5" max="5" width="7.5703125" style="95" customWidth="1"/>
    <col min="6" max="6" width="8" style="95" customWidth="1"/>
    <col min="7" max="7" width="7.5703125" style="95" customWidth="1"/>
    <col min="8" max="8" width="8" style="95" customWidth="1"/>
    <col min="9" max="9" width="6.140625" style="95" customWidth="1"/>
    <col min="10" max="11" width="9" style="95" customWidth="1"/>
    <col min="12" max="12" width="8" style="95" hidden="1" customWidth="1" outlineLevel="1"/>
    <col min="13" max="13" width="9" style="95" customWidth="1" collapsed="1"/>
    <col min="14" max="14" width="8" style="95" hidden="1" customWidth="1" outlineLevel="1"/>
    <col min="15" max="15" width="9" style="95" customWidth="1" collapsed="1"/>
    <col min="16" max="16" width="9" style="95" customWidth="1"/>
    <col min="17" max="16384" width="9.140625" style="95"/>
  </cols>
  <sheetData>
    <row r="1" spans="1:16" x14ac:dyDescent="0.25">
      <c r="A1" s="202" t="s">
        <v>117</v>
      </c>
      <c r="B1" s="79">
        <v>58.2</v>
      </c>
      <c r="C1" s="77"/>
      <c r="D1" s="77"/>
      <c r="E1" s="77"/>
      <c r="F1" s="77"/>
      <c r="G1" s="77"/>
      <c r="H1" s="77"/>
      <c r="I1" s="77"/>
      <c r="J1" s="92"/>
      <c r="K1" s="92"/>
      <c r="L1" s="92"/>
      <c r="M1" s="92"/>
      <c r="N1" s="92"/>
      <c r="O1" s="92"/>
      <c r="P1" s="92"/>
    </row>
    <row r="2" spans="1:16" x14ac:dyDescent="0.25">
      <c r="A2" s="42" t="s">
        <v>42</v>
      </c>
      <c r="B2" s="206">
        <v>16.8</v>
      </c>
      <c r="C2" s="77"/>
      <c r="D2" s="77"/>
      <c r="E2" s="77"/>
      <c r="F2" s="77"/>
      <c r="G2" s="77"/>
      <c r="H2" s="77"/>
      <c r="I2" s="77"/>
      <c r="J2" s="77"/>
      <c r="K2" s="77"/>
      <c r="L2" s="77"/>
      <c r="M2" s="77"/>
      <c r="N2" s="77"/>
      <c r="O2" s="77"/>
      <c r="P2" s="77"/>
    </row>
    <row r="3" spans="1:16" ht="15" customHeight="1" x14ac:dyDescent="0.25">
      <c r="A3" s="42" t="s">
        <v>43</v>
      </c>
      <c r="B3" s="206">
        <v>2.4</v>
      </c>
      <c r="C3" s="77"/>
      <c r="D3" s="77"/>
      <c r="E3" s="77"/>
      <c r="F3" s="77"/>
      <c r="G3" s="77"/>
      <c r="H3" s="77"/>
      <c r="I3" s="77"/>
      <c r="J3" s="77"/>
      <c r="K3" s="77"/>
      <c r="L3" s="77"/>
      <c r="M3" s="77"/>
      <c r="N3" s="77"/>
      <c r="O3" s="77"/>
      <c r="P3" s="77"/>
    </row>
    <row r="4" spans="1:16" s="100" customFormat="1" ht="15" customHeight="1" x14ac:dyDescent="0.25">
      <c r="A4" s="42" t="s">
        <v>44</v>
      </c>
      <c r="B4" s="206">
        <v>39</v>
      </c>
      <c r="C4" s="89"/>
      <c r="D4" s="89"/>
      <c r="E4" s="89"/>
      <c r="F4" s="89"/>
      <c r="G4" s="89"/>
      <c r="H4" s="89"/>
      <c r="I4" s="89"/>
      <c r="J4" s="97"/>
      <c r="K4" s="97"/>
      <c r="L4" s="97"/>
      <c r="M4" s="97"/>
      <c r="N4" s="89"/>
      <c r="O4" s="97"/>
      <c r="P4" s="97"/>
    </row>
    <row r="5" spans="1:16" s="100" customFormat="1" ht="15" customHeight="1" x14ac:dyDescent="0.25">
      <c r="A5" s="5"/>
      <c r="B5" s="206"/>
      <c r="C5" s="89"/>
      <c r="D5" s="89"/>
      <c r="E5" s="89"/>
      <c r="F5" s="89"/>
      <c r="G5" s="89"/>
      <c r="H5" s="89"/>
      <c r="I5" s="89"/>
      <c r="J5" s="97"/>
      <c r="K5" s="97"/>
      <c r="L5" s="97"/>
      <c r="M5" s="97"/>
      <c r="N5" s="89"/>
      <c r="O5" s="97"/>
      <c r="P5" s="97"/>
    </row>
    <row r="6" spans="1:16" s="100" customFormat="1" x14ac:dyDescent="0.25">
      <c r="A6" s="5" t="s">
        <v>118</v>
      </c>
      <c r="B6" s="207">
        <v>85.78</v>
      </c>
      <c r="C6" s="89"/>
      <c r="D6" s="89"/>
      <c r="E6" s="89"/>
      <c r="F6" s="89"/>
      <c r="G6" s="89"/>
      <c r="H6" s="89"/>
      <c r="I6" s="89"/>
      <c r="J6" s="97"/>
      <c r="K6" s="97"/>
      <c r="L6" s="97"/>
      <c r="M6" s="97"/>
      <c r="N6" s="89"/>
      <c r="O6" s="97"/>
      <c r="P6" s="97"/>
    </row>
    <row r="7" spans="1:16" x14ac:dyDescent="0.25">
      <c r="A7" s="42" t="s">
        <v>119</v>
      </c>
      <c r="B7" s="206">
        <v>31.5</v>
      </c>
      <c r="C7" s="77"/>
      <c r="D7" s="77"/>
      <c r="E7" s="77"/>
      <c r="F7" s="77"/>
      <c r="G7" s="77"/>
      <c r="H7" s="77"/>
      <c r="I7" s="77"/>
      <c r="J7" s="105"/>
      <c r="K7" s="105"/>
      <c r="L7" s="105"/>
      <c r="M7" s="105"/>
      <c r="N7" s="105"/>
      <c r="O7" s="105"/>
      <c r="P7" s="105"/>
    </row>
    <row r="8" spans="1:16" x14ac:dyDescent="0.25">
      <c r="A8" s="42" t="s">
        <v>120</v>
      </c>
      <c r="B8" s="206">
        <v>54.3</v>
      </c>
      <c r="C8" s="77"/>
      <c r="D8" s="77"/>
      <c r="E8" s="77"/>
      <c r="F8" s="77"/>
      <c r="G8" s="77"/>
      <c r="H8" s="77"/>
      <c r="I8" s="77"/>
      <c r="J8" s="105"/>
      <c r="K8" s="105"/>
      <c r="L8" s="105"/>
      <c r="M8" s="105"/>
      <c r="N8" s="105"/>
      <c r="O8" s="105"/>
      <c r="P8" s="105"/>
    </row>
    <row r="9" spans="1:16" x14ac:dyDescent="0.25">
      <c r="A9" s="42"/>
      <c r="B9" s="206"/>
      <c r="C9" s="77"/>
      <c r="D9" s="77"/>
      <c r="E9" s="77"/>
      <c r="F9" s="77"/>
      <c r="G9" s="77"/>
      <c r="H9" s="77"/>
      <c r="I9" s="77"/>
      <c r="J9" s="105"/>
      <c r="K9" s="105"/>
      <c r="L9" s="105"/>
      <c r="M9" s="105"/>
      <c r="N9" s="105"/>
      <c r="O9" s="105"/>
      <c r="P9" s="105"/>
    </row>
    <row r="10" spans="1:16" ht="15.75" thickBot="1" x14ac:dyDescent="0.3">
      <c r="A10" s="87" t="s">
        <v>116</v>
      </c>
      <c r="B10" s="208">
        <v>33.700000000000003</v>
      </c>
      <c r="C10" s="77"/>
      <c r="D10" s="77"/>
      <c r="E10" s="77"/>
      <c r="F10" s="77"/>
      <c r="G10" s="77"/>
      <c r="H10" s="77"/>
      <c r="I10" s="77"/>
      <c r="J10" s="105"/>
      <c r="K10" s="105"/>
      <c r="L10" s="105"/>
      <c r="M10" s="105"/>
      <c r="N10" s="105"/>
      <c r="O10" s="105"/>
      <c r="P10" s="105"/>
    </row>
    <row r="11" spans="1:16" x14ac:dyDescent="0.25">
      <c r="A11" s="77"/>
      <c r="B11" s="210"/>
      <c r="C11" s="77"/>
      <c r="D11" s="77"/>
      <c r="E11" s="77"/>
      <c r="F11" s="77"/>
      <c r="G11" s="77"/>
      <c r="H11" s="77"/>
      <c r="I11" s="77"/>
      <c r="J11" s="105"/>
      <c r="K11" s="105"/>
      <c r="L11" s="105"/>
      <c r="M11" s="105"/>
      <c r="N11" s="105"/>
      <c r="O11" s="105"/>
      <c r="P11" s="105"/>
    </row>
    <row r="12" spans="1:16" x14ac:dyDescent="0.25">
      <c r="A12" s="77"/>
      <c r="B12" s="77"/>
      <c r="C12" s="77"/>
      <c r="D12" s="77"/>
      <c r="E12" s="77"/>
      <c r="F12" s="77"/>
      <c r="G12" s="77"/>
      <c r="H12" s="77"/>
      <c r="I12" s="77"/>
      <c r="J12" s="105"/>
      <c r="K12" s="105"/>
      <c r="L12" s="105"/>
      <c r="M12" s="105"/>
      <c r="N12" s="105"/>
      <c r="O12" s="105"/>
      <c r="P12" s="105"/>
    </row>
    <row r="13" spans="1:16" ht="15.75" thickBot="1" x14ac:dyDescent="0.3">
      <c r="A13" s="77"/>
      <c r="B13" s="77"/>
      <c r="C13" s="77"/>
      <c r="D13" s="77"/>
      <c r="E13" s="77"/>
      <c r="F13" s="77"/>
      <c r="G13" s="77"/>
      <c r="H13" s="77"/>
      <c r="I13" s="77"/>
      <c r="J13" s="105"/>
      <c r="K13" s="105"/>
      <c r="L13" s="105"/>
      <c r="M13" s="105"/>
      <c r="N13" s="105"/>
      <c r="O13" s="105"/>
      <c r="P13" s="105"/>
    </row>
    <row r="14" spans="1:16" ht="15.75" thickBot="1" x14ac:dyDescent="0.3">
      <c r="A14" s="77"/>
      <c r="B14" s="264">
        <v>2008</v>
      </c>
      <c r="C14" s="265"/>
      <c r="D14" s="265"/>
      <c r="E14" s="265"/>
      <c r="F14" s="265"/>
      <c r="G14" s="265"/>
      <c r="H14" s="266"/>
      <c r="I14" s="173"/>
      <c r="J14" s="264">
        <v>2007</v>
      </c>
      <c r="K14" s="265"/>
      <c r="L14" s="265"/>
      <c r="M14" s="265"/>
      <c r="N14" s="265"/>
      <c r="O14" s="265"/>
      <c r="P14" s="266"/>
    </row>
    <row r="15" spans="1:16" s="158" customFormat="1" x14ac:dyDescent="0.25">
      <c r="A15" s="114"/>
      <c r="B15" s="153" t="s">
        <v>3</v>
      </c>
      <c r="C15" s="97" t="s">
        <v>4</v>
      </c>
      <c r="D15" s="97" t="s">
        <v>5</v>
      </c>
      <c r="E15" s="97" t="s">
        <v>6</v>
      </c>
      <c r="F15" s="97" t="s">
        <v>7</v>
      </c>
      <c r="G15" s="97" t="s">
        <v>8</v>
      </c>
      <c r="H15" s="99" t="s">
        <v>9</v>
      </c>
      <c r="I15" s="97"/>
      <c r="J15" s="153" t="s">
        <v>3</v>
      </c>
      <c r="K15" s="97" t="s">
        <v>4</v>
      </c>
      <c r="L15" s="97" t="s">
        <v>5</v>
      </c>
      <c r="M15" s="97" t="s">
        <v>6</v>
      </c>
      <c r="N15" s="97" t="s">
        <v>7</v>
      </c>
      <c r="O15" s="97" t="s">
        <v>8</v>
      </c>
      <c r="P15" s="99" t="s">
        <v>9</v>
      </c>
    </row>
    <row r="16" spans="1:16" x14ac:dyDescent="0.25">
      <c r="A16" s="42"/>
      <c r="B16" s="178"/>
      <c r="C16" s="174"/>
      <c r="D16" s="174"/>
      <c r="E16" s="174"/>
      <c r="F16" s="174"/>
      <c r="G16" s="174"/>
      <c r="H16" s="182"/>
      <c r="I16" s="174"/>
      <c r="J16" s="107"/>
      <c r="K16" s="105"/>
      <c r="L16" s="105"/>
      <c r="M16" s="105"/>
      <c r="N16" s="105"/>
      <c r="O16" s="105"/>
      <c r="P16" s="106"/>
    </row>
    <row r="17" spans="1:16" s="100" customFormat="1" x14ac:dyDescent="0.25">
      <c r="A17" s="88" t="s">
        <v>10</v>
      </c>
      <c r="B17" s="179">
        <v>16155</v>
      </c>
      <c r="C17" s="175">
        <v>18138</v>
      </c>
      <c r="D17" s="175">
        <v>34293</v>
      </c>
      <c r="E17" s="175">
        <v>0</v>
      </c>
      <c r="F17" s="175">
        <v>34293</v>
      </c>
      <c r="G17" s="175">
        <v>0</v>
      </c>
      <c r="H17" s="183">
        <v>34293</v>
      </c>
      <c r="I17" s="175"/>
      <c r="J17" s="108">
        <v>5412</v>
      </c>
      <c r="K17" s="103">
        <v>15151</v>
      </c>
      <c r="L17" s="103">
        <v>20563</v>
      </c>
      <c r="M17" s="103">
        <v>14475</v>
      </c>
      <c r="N17" s="103">
        <v>35038</v>
      </c>
      <c r="O17" s="103">
        <v>18553</v>
      </c>
      <c r="P17" s="104">
        <v>53591</v>
      </c>
    </row>
    <row r="18" spans="1:16" s="100" customFormat="1" x14ac:dyDescent="0.25">
      <c r="A18" s="88" t="s">
        <v>11</v>
      </c>
      <c r="B18" s="179">
        <v>9521</v>
      </c>
      <c r="C18" s="175">
        <v>10296</v>
      </c>
      <c r="D18" s="175">
        <v>19817</v>
      </c>
      <c r="E18" s="175">
        <v>0</v>
      </c>
      <c r="F18" s="175">
        <v>19817</v>
      </c>
      <c r="G18" s="175">
        <v>0</v>
      </c>
      <c r="H18" s="183">
        <v>19817</v>
      </c>
      <c r="I18" s="175"/>
      <c r="J18" s="108">
        <v>3246</v>
      </c>
      <c r="K18" s="103">
        <v>8915</v>
      </c>
      <c r="L18" s="103">
        <v>12161</v>
      </c>
      <c r="M18" s="103">
        <v>9436</v>
      </c>
      <c r="N18" s="103">
        <v>21597</v>
      </c>
      <c r="O18" s="103">
        <v>11273</v>
      </c>
      <c r="P18" s="104">
        <v>32870</v>
      </c>
    </row>
    <row r="19" spans="1:16" s="100" customFormat="1" x14ac:dyDescent="0.25">
      <c r="A19" s="88" t="s">
        <v>12</v>
      </c>
      <c r="B19" s="179">
        <v>6634</v>
      </c>
      <c r="C19" s="175">
        <v>7842</v>
      </c>
      <c r="D19" s="175">
        <v>14476</v>
      </c>
      <c r="E19" s="175">
        <v>0</v>
      </c>
      <c r="F19" s="175">
        <v>14476</v>
      </c>
      <c r="G19" s="175">
        <v>0</v>
      </c>
      <c r="H19" s="183">
        <v>14476</v>
      </c>
      <c r="I19" s="175"/>
      <c r="J19" s="108">
        <v>2166</v>
      </c>
      <c r="K19" s="103">
        <v>6236</v>
      </c>
      <c r="L19" s="103">
        <v>8402</v>
      </c>
      <c r="M19" s="103">
        <v>5039</v>
      </c>
      <c r="N19" s="103">
        <v>13441</v>
      </c>
      <c r="O19" s="103">
        <v>7280</v>
      </c>
      <c r="P19" s="104">
        <v>20721</v>
      </c>
    </row>
    <row r="20" spans="1:16" ht="15" customHeight="1" outlineLevel="1" x14ac:dyDescent="0.25">
      <c r="A20" s="42" t="s">
        <v>13</v>
      </c>
      <c r="B20" s="180">
        <v>4086</v>
      </c>
      <c r="C20" s="176">
        <v>4338</v>
      </c>
      <c r="D20" s="176">
        <v>8424</v>
      </c>
      <c r="E20" s="176">
        <v>0</v>
      </c>
      <c r="F20" s="176">
        <v>8424</v>
      </c>
      <c r="G20" s="176">
        <v>0</v>
      </c>
      <c r="H20" s="184">
        <v>8424</v>
      </c>
      <c r="I20" s="176"/>
      <c r="J20" s="107">
        <v>1137</v>
      </c>
      <c r="K20" s="105">
        <v>3786</v>
      </c>
      <c r="L20" s="105">
        <v>4923</v>
      </c>
      <c r="M20" s="105">
        <v>3859</v>
      </c>
      <c r="N20" s="105">
        <v>8782</v>
      </c>
      <c r="O20" s="105">
        <v>4302</v>
      </c>
      <c r="P20" s="106">
        <v>13084</v>
      </c>
    </row>
    <row r="21" spans="1:16" ht="15" customHeight="1" outlineLevel="1" x14ac:dyDescent="0.25">
      <c r="A21" s="42" t="s">
        <v>14</v>
      </c>
      <c r="B21" s="180">
        <v>126</v>
      </c>
      <c r="C21" s="176">
        <v>115</v>
      </c>
      <c r="D21" s="176">
        <v>241</v>
      </c>
      <c r="E21" s="176">
        <v>0</v>
      </c>
      <c r="F21" s="176">
        <v>241</v>
      </c>
      <c r="G21" s="176">
        <v>0</v>
      </c>
      <c r="H21" s="184">
        <v>241</v>
      </c>
      <c r="I21" s="176"/>
      <c r="J21" s="107">
        <v>43</v>
      </c>
      <c r="K21" s="105">
        <v>126</v>
      </c>
      <c r="L21" s="105">
        <v>169</v>
      </c>
      <c r="M21" s="105">
        <v>126</v>
      </c>
      <c r="N21" s="105">
        <v>295</v>
      </c>
      <c r="O21" s="105">
        <v>123</v>
      </c>
      <c r="P21" s="106">
        <v>418</v>
      </c>
    </row>
    <row r="22" spans="1:16" ht="17.25" customHeight="1" outlineLevel="1" x14ac:dyDescent="0.25">
      <c r="A22" s="42" t="s">
        <v>15</v>
      </c>
      <c r="B22" s="180">
        <v>402</v>
      </c>
      <c r="C22" s="176">
        <v>368</v>
      </c>
      <c r="D22" s="176">
        <v>770</v>
      </c>
      <c r="E22" s="176">
        <v>0</v>
      </c>
      <c r="F22" s="176">
        <v>770</v>
      </c>
      <c r="G22" s="176">
        <v>0</v>
      </c>
      <c r="H22" s="184">
        <v>770</v>
      </c>
      <c r="I22" s="176"/>
      <c r="J22" s="107">
        <v>834</v>
      </c>
      <c r="K22" s="105">
        <v>2235</v>
      </c>
      <c r="L22" s="105">
        <v>3069</v>
      </c>
      <c r="M22" s="105">
        <v>1268</v>
      </c>
      <c r="N22" s="105">
        <v>4337</v>
      </c>
      <c r="O22" s="105">
        <v>394</v>
      </c>
      <c r="P22" s="106">
        <v>4731</v>
      </c>
    </row>
    <row r="23" spans="1:16" s="158" customFormat="1" ht="15" customHeight="1" outlineLevel="1" x14ac:dyDescent="0.25">
      <c r="A23" s="42" t="s">
        <v>16</v>
      </c>
      <c r="B23" s="187">
        <v>0</v>
      </c>
      <c r="C23" s="188">
        <v>0</v>
      </c>
      <c r="D23" s="188">
        <v>0</v>
      </c>
      <c r="E23" s="188">
        <v>0</v>
      </c>
      <c r="F23" s="188">
        <v>0</v>
      </c>
      <c r="G23" s="188">
        <v>0</v>
      </c>
      <c r="H23" s="189">
        <v>0</v>
      </c>
      <c r="I23" s="188"/>
      <c r="J23" s="154">
        <v>0</v>
      </c>
      <c r="K23" s="155">
        <v>0</v>
      </c>
      <c r="L23" s="155">
        <v>0</v>
      </c>
      <c r="M23" s="155">
        <v>0</v>
      </c>
      <c r="N23" s="155">
        <v>0</v>
      </c>
      <c r="O23" s="155">
        <v>0</v>
      </c>
      <c r="P23" s="156">
        <v>0</v>
      </c>
    </row>
    <row r="24" spans="1:16" s="100" customFormat="1" x14ac:dyDescent="0.25">
      <c r="A24" s="88" t="s">
        <v>17</v>
      </c>
      <c r="B24" s="179">
        <v>2020</v>
      </c>
      <c r="C24" s="175">
        <v>3021</v>
      </c>
      <c r="D24" s="175">
        <v>5041</v>
      </c>
      <c r="E24" s="175">
        <v>0</v>
      </c>
      <c r="F24" s="175">
        <v>5041</v>
      </c>
      <c r="G24" s="175">
        <v>0</v>
      </c>
      <c r="H24" s="183">
        <v>5041</v>
      </c>
      <c r="I24" s="175"/>
      <c r="J24" s="108">
        <v>152</v>
      </c>
      <c r="K24" s="103">
        <v>89</v>
      </c>
      <c r="L24" s="103">
        <v>241</v>
      </c>
      <c r="M24" s="103">
        <v>-214</v>
      </c>
      <c r="N24" s="103">
        <v>27</v>
      </c>
      <c r="O24" s="103">
        <v>2461</v>
      </c>
      <c r="P24" s="104">
        <v>2488</v>
      </c>
    </row>
    <row r="25" spans="1:16" ht="15" customHeight="1" outlineLevel="1" x14ac:dyDescent="0.25">
      <c r="A25" s="42" t="s">
        <v>18</v>
      </c>
      <c r="B25" s="180">
        <v>45</v>
      </c>
      <c r="C25" s="176">
        <v>45</v>
      </c>
      <c r="D25" s="176">
        <v>90</v>
      </c>
      <c r="E25" s="176">
        <v>0</v>
      </c>
      <c r="F25" s="176">
        <v>90</v>
      </c>
      <c r="G25" s="176">
        <v>0</v>
      </c>
      <c r="H25" s="184">
        <v>90</v>
      </c>
      <c r="I25" s="176"/>
      <c r="J25" s="107">
        <v>-6</v>
      </c>
      <c r="K25" s="105">
        <v>1</v>
      </c>
      <c r="L25" s="105">
        <v>-5</v>
      </c>
      <c r="M25" s="105">
        <v>114</v>
      </c>
      <c r="N25" s="105">
        <v>109</v>
      </c>
      <c r="O25" s="105">
        <v>63</v>
      </c>
      <c r="P25" s="106">
        <v>172</v>
      </c>
    </row>
    <row r="26" spans="1:16" ht="15" customHeight="1" outlineLevel="1" x14ac:dyDescent="0.25">
      <c r="A26" s="42" t="s">
        <v>19</v>
      </c>
      <c r="B26" s="180">
        <v>0</v>
      </c>
      <c r="C26" s="176">
        <v>0</v>
      </c>
      <c r="D26" s="176">
        <v>0</v>
      </c>
      <c r="E26" s="176">
        <v>0</v>
      </c>
      <c r="F26" s="176">
        <v>0</v>
      </c>
      <c r="G26" s="176">
        <v>0</v>
      </c>
      <c r="H26" s="184">
        <v>0</v>
      </c>
      <c r="I26" s="176"/>
      <c r="J26" s="107">
        <v>0</v>
      </c>
      <c r="K26" s="105">
        <v>8</v>
      </c>
      <c r="L26" s="105">
        <v>8</v>
      </c>
      <c r="M26" s="105">
        <v>-6</v>
      </c>
      <c r="N26" s="105">
        <v>2</v>
      </c>
      <c r="O26" s="105">
        <v>0</v>
      </c>
      <c r="P26" s="106">
        <v>2</v>
      </c>
    </row>
    <row r="27" spans="1:16" ht="15" customHeight="1" outlineLevel="1" x14ac:dyDescent="0.25">
      <c r="A27" s="42" t="s">
        <v>20</v>
      </c>
      <c r="B27" s="180">
        <v>823</v>
      </c>
      <c r="C27" s="176">
        <v>699</v>
      </c>
      <c r="D27" s="176">
        <v>1522</v>
      </c>
      <c r="E27" s="176">
        <v>0</v>
      </c>
      <c r="F27" s="176">
        <v>1522</v>
      </c>
      <c r="G27" s="176">
        <v>0</v>
      </c>
      <c r="H27" s="184">
        <v>1522</v>
      </c>
      <c r="I27" s="176"/>
      <c r="J27" s="107">
        <v>391</v>
      </c>
      <c r="K27" s="105">
        <v>1061</v>
      </c>
      <c r="L27" s="105">
        <v>1452</v>
      </c>
      <c r="M27" s="105">
        <v>914</v>
      </c>
      <c r="N27" s="105">
        <v>2366</v>
      </c>
      <c r="O27" s="105">
        <v>961</v>
      </c>
      <c r="P27" s="106">
        <v>3327</v>
      </c>
    </row>
    <row r="28" spans="1:16" s="158" customFormat="1" ht="17.25" customHeight="1" outlineLevel="1" x14ac:dyDescent="0.25">
      <c r="A28" s="42" t="s">
        <v>21</v>
      </c>
      <c r="B28" s="187">
        <v>439</v>
      </c>
      <c r="C28" s="188">
        <v>835</v>
      </c>
      <c r="D28" s="188">
        <v>1274</v>
      </c>
      <c r="E28" s="188">
        <v>0</v>
      </c>
      <c r="F28" s="188">
        <v>1274</v>
      </c>
      <c r="G28" s="188">
        <v>0</v>
      </c>
      <c r="H28" s="189">
        <v>1274</v>
      </c>
      <c r="I28" s="188"/>
      <c r="J28" s="154">
        <v>-86</v>
      </c>
      <c r="K28" s="155">
        <v>-363</v>
      </c>
      <c r="L28" s="155">
        <v>-449</v>
      </c>
      <c r="M28" s="155">
        <v>-457</v>
      </c>
      <c r="N28" s="155">
        <v>-906</v>
      </c>
      <c r="O28" s="155">
        <v>583</v>
      </c>
      <c r="P28" s="156">
        <v>-323</v>
      </c>
    </row>
    <row r="29" spans="1:16" s="100" customFormat="1" x14ac:dyDescent="0.25">
      <c r="A29" s="88" t="s">
        <v>24</v>
      </c>
      <c r="B29" s="108">
        <v>713</v>
      </c>
      <c r="C29" s="103">
        <v>1442</v>
      </c>
      <c r="D29" s="103">
        <v>2155</v>
      </c>
      <c r="E29" s="103">
        <v>0</v>
      </c>
      <c r="F29" s="103">
        <v>2155</v>
      </c>
      <c r="G29" s="103">
        <v>0</v>
      </c>
      <c r="H29" s="104">
        <v>2155</v>
      </c>
      <c r="I29" s="103"/>
      <c r="J29" s="108">
        <v>-147</v>
      </c>
      <c r="K29" s="103">
        <v>-618</v>
      </c>
      <c r="L29" s="103">
        <v>-765</v>
      </c>
      <c r="M29" s="103">
        <v>-779</v>
      </c>
      <c r="N29" s="103">
        <v>-1544</v>
      </c>
      <c r="O29" s="103">
        <v>854</v>
      </c>
      <c r="P29" s="104">
        <v>-690</v>
      </c>
    </row>
    <row r="30" spans="1:16" ht="15" customHeight="1" outlineLevel="1" x14ac:dyDescent="0.25">
      <c r="A30" s="114" t="s">
        <v>54</v>
      </c>
      <c r="B30" s="180"/>
      <c r="C30" s="176"/>
      <c r="D30" s="176"/>
      <c r="E30" s="176"/>
      <c r="F30" s="176"/>
      <c r="G30" s="176"/>
      <c r="H30" s="184"/>
      <c r="I30" s="176"/>
      <c r="J30" s="107"/>
      <c r="K30" s="116"/>
      <c r="L30" s="116"/>
      <c r="M30" s="116"/>
      <c r="N30" s="105"/>
      <c r="O30" s="116"/>
      <c r="P30" s="117"/>
    </row>
    <row r="31" spans="1:16" ht="15" customHeight="1" outlineLevel="1" x14ac:dyDescent="0.25">
      <c r="A31" s="42" t="s">
        <v>21</v>
      </c>
      <c r="B31" s="180">
        <v>439</v>
      </c>
      <c r="C31" s="176">
        <v>0</v>
      </c>
      <c r="D31" s="176">
        <v>0</v>
      </c>
      <c r="E31" s="176">
        <v>0</v>
      </c>
      <c r="F31" s="176">
        <v>0</v>
      </c>
      <c r="G31" s="176">
        <v>0</v>
      </c>
      <c r="H31" s="184">
        <v>0</v>
      </c>
      <c r="I31" s="176"/>
      <c r="J31" s="107">
        <v>-86</v>
      </c>
      <c r="K31" s="105">
        <v>-363</v>
      </c>
      <c r="L31" s="105">
        <v>-449</v>
      </c>
      <c r="M31" s="105">
        <v>-457</v>
      </c>
      <c r="N31" s="105">
        <v>-906</v>
      </c>
      <c r="O31" s="105">
        <v>583</v>
      </c>
      <c r="P31" s="106">
        <v>-323</v>
      </c>
    </row>
    <row r="32" spans="1:16" ht="15" customHeight="1" outlineLevel="1" x14ac:dyDescent="0.25">
      <c r="A32" s="42" t="s">
        <v>19</v>
      </c>
      <c r="B32" s="180">
        <v>0</v>
      </c>
      <c r="C32" s="176">
        <v>0</v>
      </c>
      <c r="D32" s="176">
        <v>0</v>
      </c>
      <c r="E32" s="176">
        <v>0</v>
      </c>
      <c r="F32" s="176">
        <v>0</v>
      </c>
      <c r="G32" s="176">
        <v>0</v>
      </c>
      <c r="H32" s="184">
        <v>0</v>
      </c>
      <c r="I32" s="176"/>
      <c r="J32" s="107">
        <v>0</v>
      </c>
      <c r="K32" s="105">
        <v>8</v>
      </c>
      <c r="L32" s="105">
        <v>8</v>
      </c>
      <c r="M32" s="105">
        <v>-6</v>
      </c>
      <c r="N32" s="105">
        <v>2</v>
      </c>
      <c r="O32" s="105">
        <v>0</v>
      </c>
      <c r="P32" s="106">
        <v>2</v>
      </c>
    </row>
    <row r="33" spans="1:16" ht="15" customHeight="1" outlineLevel="1" x14ac:dyDescent="0.25">
      <c r="A33" s="42" t="s">
        <v>20</v>
      </c>
      <c r="B33" s="180">
        <v>823</v>
      </c>
      <c r="C33" s="176">
        <v>0</v>
      </c>
      <c r="D33" s="176">
        <v>0</v>
      </c>
      <c r="E33" s="176">
        <v>0</v>
      </c>
      <c r="F33" s="176">
        <v>0</v>
      </c>
      <c r="G33" s="176">
        <v>0</v>
      </c>
      <c r="H33" s="184">
        <v>0</v>
      </c>
      <c r="I33" s="176"/>
      <c r="J33" s="107">
        <v>391</v>
      </c>
      <c r="K33" s="105">
        <v>1061</v>
      </c>
      <c r="L33" s="105">
        <v>1452</v>
      </c>
      <c r="M33" s="105">
        <v>914</v>
      </c>
      <c r="N33" s="105">
        <v>2366</v>
      </c>
      <c r="O33" s="105">
        <v>961</v>
      </c>
      <c r="P33" s="106">
        <v>3327</v>
      </c>
    </row>
    <row r="34" spans="1:16" ht="15" customHeight="1" outlineLevel="1" x14ac:dyDescent="0.25">
      <c r="A34" s="42" t="s">
        <v>55</v>
      </c>
      <c r="B34" s="180">
        <v>672</v>
      </c>
      <c r="C34" s="176">
        <v>0</v>
      </c>
      <c r="D34" s="176">
        <v>0</v>
      </c>
      <c r="E34" s="176">
        <v>0</v>
      </c>
      <c r="F34" s="176">
        <v>0</v>
      </c>
      <c r="G34" s="176">
        <v>0</v>
      </c>
      <c r="H34" s="184">
        <v>0</v>
      </c>
      <c r="I34" s="176"/>
      <c r="J34" s="107">
        <v>932</v>
      </c>
      <c r="K34" s="116">
        <v>2481</v>
      </c>
      <c r="L34" s="116">
        <v>3413</v>
      </c>
      <c r="M34" s="116">
        <v>1529</v>
      </c>
      <c r="N34" s="105">
        <v>4942</v>
      </c>
      <c r="O34" s="116">
        <v>594</v>
      </c>
      <c r="P34" s="117">
        <v>5536</v>
      </c>
    </row>
    <row r="35" spans="1:16" s="158" customFormat="1" ht="15" customHeight="1" outlineLevel="1" x14ac:dyDescent="0.25">
      <c r="A35" s="42" t="s">
        <v>56</v>
      </c>
      <c r="B35" s="187">
        <v>0</v>
      </c>
      <c r="C35" s="176">
        <v>0</v>
      </c>
      <c r="D35" s="176">
        <v>0</v>
      </c>
      <c r="E35" s="176">
        <v>0</v>
      </c>
      <c r="F35" s="176">
        <v>0</v>
      </c>
      <c r="G35" s="176">
        <v>0</v>
      </c>
      <c r="H35" s="184">
        <v>0</v>
      </c>
      <c r="I35" s="188"/>
      <c r="J35" s="154">
        <v>0</v>
      </c>
      <c r="K35" s="190">
        <v>0</v>
      </c>
      <c r="L35" s="190">
        <v>0</v>
      </c>
      <c r="M35" s="190">
        <v>0</v>
      </c>
      <c r="N35" s="155">
        <v>0</v>
      </c>
      <c r="O35" s="190">
        <v>0</v>
      </c>
      <c r="P35" s="191">
        <v>0</v>
      </c>
    </row>
    <row r="36" spans="1:16" s="100" customFormat="1" x14ac:dyDescent="0.25">
      <c r="A36" s="88" t="s">
        <v>57</v>
      </c>
      <c r="B36" s="179">
        <v>2647</v>
      </c>
      <c r="C36" s="176">
        <v>0</v>
      </c>
      <c r="D36" s="176">
        <v>0</v>
      </c>
      <c r="E36" s="176">
        <v>0</v>
      </c>
      <c r="F36" s="176">
        <v>0</v>
      </c>
      <c r="G36" s="176">
        <v>0</v>
      </c>
      <c r="H36" s="184">
        <v>0</v>
      </c>
      <c r="I36" s="175"/>
      <c r="J36" s="108">
        <v>1090</v>
      </c>
      <c r="K36" s="103">
        <v>2569</v>
      </c>
      <c r="L36" s="103">
        <v>3659</v>
      </c>
      <c r="M36" s="103">
        <v>1201</v>
      </c>
      <c r="N36" s="103">
        <v>4860</v>
      </c>
      <c r="O36" s="103">
        <v>2992</v>
      </c>
      <c r="P36" s="104">
        <v>7852</v>
      </c>
    </row>
    <row r="37" spans="1:16" ht="15" customHeight="1" outlineLevel="1" x14ac:dyDescent="0.25">
      <c r="A37" s="42" t="s">
        <v>58</v>
      </c>
      <c r="B37" s="180">
        <v>0</v>
      </c>
      <c r="C37" s="176">
        <v>0</v>
      </c>
      <c r="D37" s="176">
        <v>0</v>
      </c>
      <c r="E37" s="176">
        <v>0</v>
      </c>
      <c r="F37" s="176">
        <v>0</v>
      </c>
      <c r="G37" s="176">
        <v>0</v>
      </c>
      <c r="H37" s="184">
        <v>0</v>
      </c>
      <c r="I37" s="176"/>
      <c r="J37" s="107">
        <v>0</v>
      </c>
      <c r="K37" s="116">
        <v>0</v>
      </c>
      <c r="L37" s="116">
        <v>0</v>
      </c>
      <c r="M37" s="116">
        <v>0</v>
      </c>
      <c r="N37" s="105">
        <v>0</v>
      </c>
      <c r="O37" s="116">
        <v>0</v>
      </c>
      <c r="P37" s="117">
        <v>0</v>
      </c>
    </row>
    <row r="38" spans="1:16" ht="15" customHeight="1" outlineLevel="1" x14ac:dyDescent="0.25">
      <c r="A38" s="42" t="s">
        <v>59</v>
      </c>
      <c r="B38" s="180">
        <v>0</v>
      </c>
      <c r="C38" s="176">
        <v>0</v>
      </c>
      <c r="D38" s="176">
        <v>0</v>
      </c>
      <c r="E38" s="176">
        <v>0</v>
      </c>
      <c r="F38" s="176">
        <v>0</v>
      </c>
      <c r="G38" s="176">
        <v>0</v>
      </c>
      <c r="H38" s="184">
        <v>0</v>
      </c>
      <c r="I38" s="176"/>
      <c r="J38" s="107">
        <v>0</v>
      </c>
      <c r="K38" s="116">
        <v>0</v>
      </c>
      <c r="L38" s="116">
        <v>0</v>
      </c>
      <c r="M38" s="116">
        <v>0</v>
      </c>
      <c r="N38" s="105">
        <v>0</v>
      </c>
      <c r="O38" s="116">
        <v>0</v>
      </c>
      <c r="P38" s="117">
        <v>0</v>
      </c>
    </row>
    <row r="39" spans="1:16" ht="15" customHeight="1" outlineLevel="1" x14ac:dyDescent="0.25">
      <c r="A39" s="42" t="s">
        <v>60</v>
      </c>
      <c r="B39" s="180">
        <v>0</v>
      </c>
      <c r="C39" s="176">
        <v>0</v>
      </c>
      <c r="D39" s="176">
        <v>0</v>
      </c>
      <c r="E39" s="176">
        <v>0</v>
      </c>
      <c r="F39" s="176">
        <v>0</v>
      </c>
      <c r="G39" s="176">
        <v>0</v>
      </c>
      <c r="H39" s="184">
        <v>0</v>
      </c>
      <c r="I39" s="176"/>
      <c r="J39" s="107">
        <v>0</v>
      </c>
      <c r="K39" s="116">
        <v>0</v>
      </c>
      <c r="L39" s="116">
        <v>0</v>
      </c>
      <c r="M39" s="116">
        <v>0</v>
      </c>
      <c r="N39" s="105">
        <v>0</v>
      </c>
      <c r="O39" s="116">
        <v>0</v>
      </c>
      <c r="P39" s="117">
        <v>0</v>
      </c>
    </row>
    <row r="40" spans="1:16" ht="15" customHeight="1" outlineLevel="1" x14ac:dyDescent="0.25">
      <c r="A40" s="42" t="s">
        <v>61</v>
      </c>
      <c r="B40" s="180">
        <v>57</v>
      </c>
      <c r="C40" s="176">
        <v>0</v>
      </c>
      <c r="D40" s="176">
        <v>0</v>
      </c>
      <c r="E40" s="176">
        <v>0</v>
      </c>
      <c r="F40" s="176">
        <v>0</v>
      </c>
      <c r="G40" s="176">
        <v>0</v>
      </c>
      <c r="H40" s="184">
        <v>0</v>
      </c>
      <c r="I40" s="176"/>
      <c r="J40" s="107">
        <v>0</v>
      </c>
      <c r="K40" s="116">
        <v>78</v>
      </c>
      <c r="L40" s="116">
        <v>78</v>
      </c>
      <c r="M40" s="116">
        <v>59</v>
      </c>
      <c r="N40" s="105">
        <v>137</v>
      </c>
      <c r="O40" s="116">
        <v>59</v>
      </c>
      <c r="P40" s="117">
        <v>196</v>
      </c>
    </row>
    <row r="41" spans="1:16" ht="15" customHeight="1" outlineLevel="1" x14ac:dyDescent="0.25">
      <c r="A41" s="42" t="s">
        <v>62</v>
      </c>
      <c r="B41" s="180">
        <v>0</v>
      </c>
      <c r="C41" s="176">
        <v>0</v>
      </c>
      <c r="D41" s="176">
        <v>0</v>
      </c>
      <c r="E41" s="176">
        <v>0</v>
      </c>
      <c r="F41" s="176">
        <v>0</v>
      </c>
      <c r="G41" s="176">
        <v>0</v>
      </c>
      <c r="H41" s="184">
        <v>0</v>
      </c>
      <c r="I41" s="176"/>
      <c r="J41" s="107">
        <v>0</v>
      </c>
      <c r="K41" s="116">
        <v>0</v>
      </c>
      <c r="L41" s="116">
        <v>0</v>
      </c>
      <c r="M41" s="116">
        <v>0</v>
      </c>
      <c r="N41" s="105">
        <v>0</v>
      </c>
      <c r="O41" s="116">
        <v>0</v>
      </c>
      <c r="P41" s="117">
        <v>0</v>
      </c>
    </row>
    <row r="42" spans="1:16" ht="15" customHeight="1" outlineLevel="1" x14ac:dyDescent="0.25">
      <c r="A42" s="42" t="s">
        <v>63</v>
      </c>
      <c r="B42" s="180">
        <v>0</v>
      </c>
      <c r="C42" s="176">
        <v>0</v>
      </c>
      <c r="D42" s="176">
        <v>0</v>
      </c>
      <c r="E42" s="176">
        <v>0</v>
      </c>
      <c r="F42" s="176">
        <v>0</v>
      </c>
      <c r="G42" s="176">
        <v>0</v>
      </c>
      <c r="H42" s="184">
        <v>0</v>
      </c>
      <c r="I42" s="176"/>
      <c r="J42" s="107">
        <v>0</v>
      </c>
      <c r="K42" s="116">
        <v>0</v>
      </c>
      <c r="L42" s="116">
        <v>0</v>
      </c>
      <c r="M42" s="116">
        <v>0</v>
      </c>
      <c r="N42" s="105">
        <v>0</v>
      </c>
      <c r="O42" s="116">
        <v>0</v>
      </c>
      <c r="P42" s="117">
        <v>0</v>
      </c>
    </row>
    <row r="43" spans="1:16" ht="15" customHeight="1" outlineLevel="1" x14ac:dyDescent="0.25">
      <c r="A43" s="42" t="s">
        <v>14</v>
      </c>
      <c r="B43" s="180">
        <v>126</v>
      </c>
      <c r="C43" s="176">
        <v>0</v>
      </c>
      <c r="D43" s="176">
        <v>0</v>
      </c>
      <c r="E43" s="176">
        <v>0</v>
      </c>
      <c r="F43" s="176">
        <v>0</v>
      </c>
      <c r="G43" s="176">
        <v>0</v>
      </c>
      <c r="H43" s="184">
        <v>0</v>
      </c>
      <c r="I43" s="176"/>
      <c r="J43" s="107">
        <v>43</v>
      </c>
      <c r="K43" s="116">
        <v>126</v>
      </c>
      <c r="L43" s="116">
        <v>169</v>
      </c>
      <c r="M43" s="116">
        <v>126</v>
      </c>
      <c r="N43" s="105">
        <v>295</v>
      </c>
      <c r="O43" s="116">
        <v>123</v>
      </c>
      <c r="P43" s="117">
        <v>418</v>
      </c>
    </row>
    <row r="44" spans="1:16" ht="17.25" customHeight="1" outlineLevel="1" x14ac:dyDescent="0.4">
      <c r="A44" s="42" t="s">
        <v>34</v>
      </c>
      <c r="B44" s="200">
        <v>42</v>
      </c>
      <c r="C44" s="176">
        <v>0</v>
      </c>
      <c r="D44" s="176">
        <v>0</v>
      </c>
      <c r="E44" s="176">
        <v>0</v>
      </c>
      <c r="F44" s="176">
        <v>0</v>
      </c>
      <c r="G44" s="176">
        <v>0</v>
      </c>
      <c r="H44" s="184">
        <v>0</v>
      </c>
      <c r="I44" s="201"/>
      <c r="J44" s="111">
        <v>0</v>
      </c>
      <c r="K44" s="112">
        <v>6</v>
      </c>
      <c r="L44" s="112">
        <v>6</v>
      </c>
      <c r="M44" s="112">
        <v>107</v>
      </c>
      <c r="N44" s="112">
        <v>113</v>
      </c>
      <c r="O44" s="112">
        <v>44</v>
      </c>
      <c r="P44" s="113">
        <v>157</v>
      </c>
    </row>
    <row r="45" spans="1:16" s="100" customFormat="1" x14ac:dyDescent="0.25">
      <c r="A45" s="88" t="s">
        <v>65</v>
      </c>
      <c r="B45" s="179">
        <v>2872</v>
      </c>
      <c r="C45" s="176">
        <v>0</v>
      </c>
      <c r="D45" s="176">
        <v>0</v>
      </c>
      <c r="E45" s="176">
        <v>0</v>
      </c>
      <c r="F45" s="176">
        <v>0</v>
      </c>
      <c r="G45" s="176">
        <v>0</v>
      </c>
      <c r="H45" s="184">
        <v>0</v>
      </c>
      <c r="I45" s="175"/>
      <c r="J45" s="108">
        <v>1133</v>
      </c>
      <c r="K45" s="118">
        <v>2779</v>
      </c>
      <c r="L45" s="118">
        <v>3912</v>
      </c>
      <c r="M45" s="118">
        <v>1493</v>
      </c>
      <c r="N45" s="118">
        <v>5405</v>
      </c>
      <c r="O45" s="118">
        <v>3218</v>
      </c>
      <c r="P45" s="119">
        <v>8623</v>
      </c>
    </row>
    <row r="46" spans="1:16" x14ac:dyDescent="0.25">
      <c r="A46" s="42"/>
      <c r="B46" s="180"/>
      <c r="C46" s="176"/>
      <c r="D46" s="176"/>
      <c r="E46" s="176"/>
      <c r="F46" s="176"/>
      <c r="G46" s="176"/>
      <c r="H46" s="184"/>
      <c r="I46" s="176"/>
      <c r="J46" s="108"/>
      <c r="K46" s="110"/>
      <c r="L46" s="110"/>
      <c r="M46" s="110"/>
      <c r="N46" s="110"/>
      <c r="O46" s="110"/>
      <c r="P46" s="120"/>
    </row>
    <row r="47" spans="1:16" x14ac:dyDescent="0.25">
      <c r="A47" s="42"/>
      <c r="B47" s="180"/>
      <c r="C47" s="176"/>
      <c r="D47" s="176"/>
      <c r="E47" s="176"/>
      <c r="F47" s="176"/>
      <c r="G47" s="176"/>
      <c r="H47" s="184"/>
      <c r="I47" s="176"/>
      <c r="J47" s="108"/>
      <c r="K47" s="110"/>
      <c r="L47" s="110"/>
      <c r="M47" s="110"/>
      <c r="N47" s="110"/>
      <c r="O47" s="110"/>
      <c r="P47" s="120"/>
    </row>
    <row r="48" spans="1:16" s="100" customFormat="1" x14ac:dyDescent="0.25">
      <c r="A48" s="88" t="s">
        <v>25</v>
      </c>
      <c r="B48" s="179">
        <v>71281</v>
      </c>
      <c r="C48" s="175">
        <v>0</v>
      </c>
      <c r="D48" s="175"/>
      <c r="E48" s="175">
        <v>0</v>
      </c>
      <c r="F48" s="175"/>
      <c r="G48" s="175">
        <v>0</v>
      </c>
      <c r="H48" s="183"/>
      <c r="I48" s="175"/>
      <c r="J48" s="108">
        <v>73458</v>
      </c>
      <c r="K48" s="118">
        <v>70177</v>
      </c>
      <c r="L48" s="118"/>
      <c r="M48" s="118">
        <v>71983</v>
      </c>
      <c r="N48" s="118"/>
      <c r="O48" s="118">
        <v>74825</v>
      </c>
      <c r="P48" s="119"/>
    </row>
    <row r="49" spans="1:16" s="100" customFormat="1" ht="7.5" customHeight="1" x14ac:dyDescent="0.25">
      <c r="A49" s="88"/>
      <c r="B49" s="180"/>
      <c r="C49" s="176"/>
      <c r="D49" s="176"/>
      <c r="E49" s="176"/>
      <c r="F49" s="176"/>
      <c r="G49" s="176"/>
      <c r="H49" s="184"/>
      <c r="I49" s="176"/>
      <c r="J49" s="108"/>
      <c r="K49" s="118"/>
      <c r="L49" s="118"/>
      <c r="M49" s="109"/>
      <c r="N49" s="118"/>
      <c r="O49" s="118"/>
      <c r="P49" s="119"/>
    </row>
    <row r="50" spans="1:16" ht="15" customHeight="1" outlineLevel="1" x14ac:dyDescent="0.25">
      <c r="A50" s="42" t="s">
        <v>26</v>
      </c>
      <c r="B50" s="180">
        <v>32189</v>
      </c>
      <c r="C50" s="175">
        <v>0</v>
      </c>
      <c r="D50" s="175"/>
      <c r="E50" s="175">
        <v>0</v>
      </c>
      <c r="F50" s="175"/>
      <c r="G50" s="175">
        <v>0</v>
      </c>
      <c r="H50" s="184"/>
      <c r="I50" s="176"/>
      <c r="J50" s="107">
        <v>34750</v>
      </c>
      <c r="K50" s="116">
        <v>35040</v>
      </c>
      <c r="L50" s="105"/>
      <c r="M50" s="116">
        <v>33975</v>
      </c>
      <c r="N50" s="105"/>
      <c r="O50" s="116">
        <v>31480</v>
      </c>
      <c r="P50" s="106"/>
    </row>
    <row r="51" spans="1:16" ht="15" customHeight="1" outlineLevel="1" x14ac:dyDescent="0.25">
      <c r="A51" s="42" t="s">
        <v>28</v>
      </c>
      <c r="B51" s="180">
        <v>17189</v>
      </c>
      <c r="C51" s="175">
        <v>0</v>
      </c>
      <c r="D51" s="175"/>
      <c r="E51" s="175">
        <v>0</v>
      </c>
      <c r="F51" s="175"/>
      <c r="G51" s="175">
        <v>0</v>
      </c>
      <c r="H51" s="184"/>
      <c r="I51" s="176"/>
      <c r="J51" s="107">
        <v>17270</v>
      </c>
      <c r="K51" s="116">
        <v>14199</v>
      </c>
      <c r="L51" s="105"/>
      <c r="M51" s="116">
        <v>17790</v>
      </c>
      <c r="N51" s="105"/>
      <c r="O51" s="116">
        <v>22214</v>
      </c>
      <c r="P51" s="106"/>
    </row>
    <row r="52" spans="1:16" s="100" customFormat="1" x14ac:dyDescent="0.25">
      <c r="A52" s="88" t="s">
        <v>29</v>
      </c>
      <c r="B52" s="179">
        <v>49378</v>
      </c>
      <c r="C52" s="175">
        <v>0</v>
      </c>
      <c r="D52" s="175"/>
      <c r="E52" s="175">
        <v>0</v>
      </c>
      <c r="F52" s="175"/>
      <c r="G52" s="175">
        <v>0</v>
      </c>
      <c r="H52" s="183"/>
      <c r="I52" s="175"/>
      <c r="J52" s="108">
        <v>52020</v>
      </c>
      <c r="K52" s="118">
        <v>49239</v>
      </c>
      <c r="L52" s="103"/>
      <c r="M52" s="118">
        <v>51765</v>
      </c>
      <c r="N52" s="103"/>
      <c r="O52" s="118">
        <v>53694</v>
      </c>
      <c r="P52" s="104"/>
    </row>
    <row r="53" spans="1:16" s="100" customFormat="1" ht="7.5" customHeight="1" x14ac:dyDescent="0.25">
      <c r="A53" s="88"/>
      <c r="B53" s="179"/>
      <c r="C53" s="175"/>
      <c r="D53" s="175"/>
      <c r="E53" s="175"/>
      <c r="F53" s="175"/>
      <c r="G53" s="175"/>
      <c r="H53" s="183"/>
      <c r="I53" s="175"/>
      <c r="J53" s="108"/>
      <c r="K53" s="118"/>
      <c r="L53" s="103"/>
      <c r="M53" s="118"/>
      <c r="N53" s="103"/>
      <c r="O53" s="118"/>
      <c r="P53" s="104"/>
    </row>
    <row r="54" spans="1:16" s="100" customFormat="1" x14ac:dyDescent="0.25">
      <c r="A54" s="88" t="s">
        <v>36</v>
      </c>
      <c r="B54" s="179">
        <v>21903</v>
      </c>
      <c r="C54" s="175">
        <v>0</v>
      </c>
      <c r="D54" s="175"/>
      <c r="E54" s="175">
        <v>0</v>
      </c>
      <c r="F54" s="175"/>
      <c r="G54" s="175">
        <v>0</v>
      </c>
      <c r="H54" s="183"/>
      <c r="I54" s="175"/>
      <c r="J54" s="108">
        <v>21438</v>
      </c>
      <c r="K54" s="118">
        <v>20938</v>
      </c>
      <c r="L54" s="103"/>
      <c r="M54" s="118">
        <v>20218</v>
      </c>
      <c r="N54" s="103"/>
      <c r="O54" s="118">
        <v>21131</v>
      </c>
      <c r="P54" s="104"/>
    </row>
    <row r="55" spans="1:16" ht="7.5" customHeight="1" x14ac:dyDescent="0.25">
      <c r="A55" s="42"/>
      <c r="B55" s="180"/>
      <c r="C55" s="176"/>
      <c r="D55" s="176"/>
      <c r="E55" s="176"/>
      <c r="F55" s="176"/>
      <c r="G55" s="176"/>
      <c r="H55" s="184"/>
      <c r="I55" s="176"/>
      <c r="J55" s="108"/>
      <c r="K55" s="116"/>
      <c r="L55" s="116"/>
      <c r="M55" s="116"/>
      <c r="N55" s="116"/>
      <c r="O55" s="116"/>
      <c r="P55" s="117"/>
    </row>
    <row r="56" spans="1:16" s="100" customFormat="1" x14ac:dyDescent="0.25">
      <c r="A56" s="88" t="s">
        <v>66</v>
      </c>
      <c r="B56" s="179">
        <v>84</v>
      </c>
      <c r="C56" s="175">
        <v>210</v>
      </c>
      <c r="D56" s="176"/>
      <c r="E56" s="176">
        <v>0</v>
      </c>
      <c r="F56" s="176"/>
      <c r="G56" s="176">
        <v>0</v>
      </c>
      <c r="H56" s="184"/>
      <c r="I56" s="176"/>
      <c r="J56" s="108">
        <v>14</v>
      </c>
      <c r="K56" s="118">
        <v>59</v>
      </c>
      <c r="L56" s="118"/>
      <c r="M56" s="118">
        <v>304</v>
      </c>
      <c r="N56" s="118"/>
      <c r="O56" s="118">
        <v>420</v>
      </c>
      <c r="P56" s="119"/>
    </row>
    <row r="57" spans="1:16" s="100" customFormat="1" ht="7.5" customHeight="1" x14ac:dyDescent="0.25">
      <c r="A57" s="88"/>
      <c r="B57" s="180"/>
      <c r="C57" s="176"/>
      <c r="D57" s="176"/>
      <c r="E57" s="176"/>
      <c r="F57" s="176"/>
      <c r="G57" s="176"/>
      <c r="H57" s="184"/>
      <c r="I57" s="176"/>
      <c r="J57" s="108"/>
      <c r="K57" s="118"/>
      <c r="L57" s="118"/>
      <c r="M57" s="109"/>
      <c r="N57" s="118"/>
      <c r="O57" s="118"/>
      <c r="P57" s="119"/>
    </row>
    <row r="58" spans="1:16" s="100" customFormat="1" x14ac:dyDescent="0.25">
      <c r="A58" s="121" t="s">
        <v>67</v>
      </c>
      <c r="B58" s="180"/>
      <c r="C58" s="176"/>
      <c r="D58" s="176"/>
      <c r="E58" s="176"/>
      <c r="F58" s="176"/>
      <c r="G58" s="176"/>
      <c r="H58" s="184"/>
      <c r="I58" s="176"/>
      <c r="J58" s="108"/>
      <c r="K58" s="109"/>
      <c r="L58" s="118"/>
      <c r="M58" s="109"/>
      <c r="N58" s="118"/>
      <c r="O58" s="109"/>
      <c r="P58" s="119"/>
    </row>
    <row r="59" spans="1:16" s="100" customFormat="1" x14ac:dyDescent="0.25">
      <c r="A59" s="88" t="s">
        <v>68</v>
      </c>
      <c r="B59" s="181"/>
      <c r="C59" s="177"/>
      <c r="D59" s="177"/>
      <c r="E59" s="177"/>
      <c r="F59" s="177"/>
      <c r="G59" s="177"/>
      <c r="H59" s="185"/>
      <c r="I59" s="177"/>
      <c r="J59" s="146"/>
      <c r="K59" s="125"/>
      <c r="L59" s="123"/>
      <c r="M59" s="125"/>
      <c r="N59" s="123"/>
      <c r="O59" s="125"/>
      <c r="P59" s="147"/>
    </row>
    <row r="60" spans="1:16" s="100" customFormat="1" ht="15.75" thickBot="1" x14ac:dyDescent="0.3">
      <c r="A60" s="127" t="s">
        <v>69</v>
      </c>
      <c r="B60" s="150"/>
      <c r="C60" s="130"/>
      <c r="D60" s="130"/>
      <c r="E60" s="130"/>
      <c r="F60" s="130"/>
      <c r="G60" s="130"/>
      <c r="H60" s="149"/>
      <c r="I60" s="123"/>
      <c r="J60" s="150"/>
      <c r="K60" s="136"/>
      <c r="L60" s="130"/>
      <c r="M60" s="136"/>
      <c r="N60" s="130"/>
      <c r="O60" s="136"/>
      <c r="P60" s="151"/>
    </row>
  </sheetData>
  <pageMargins left="0.7" right="0.7" top="0.75" bottom="0.75" header="0.3" footer="0.3"/>
  <pageSetup scale="5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
  <sheetViews>
    <sheetView workbookViewId="0">
      <selection activeCell="H1" sqref="H1"/>
    </sheetView>
  </sheetViews>
  <sheetFormatPr defaultColWidth="9.140625" defaultRowHeight="15" x14ac:dyDescent="0.25"/>
  <cols>
    <col min="1" max="16384" width="9.140625" style="6"/>
  </cols>
  <sheetData/>
  <pageMargins left="0.7" right="0.7" top="0.75" bottom="0.75" header="0.3" footer="0.3"/>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59999389629810485"/>
  </sheetPr>
  <dimension ref="A1:AT67"/>
  <sheetViews>
    <sheetView workbookViewId="0"/>
  </sheetViews>
  <sheetFormatPr defaultColWidth="9.140625" defaultRowHeight="15" outlineLevelRow="1" outlineLevelCol="1" x14ac:dyDescent="0.25"/>
  <cols>
    <col min="1" max="1" width="44.5703125" style="95" customWidth="1"/>
    <col min="2" max="3" width="9" style="95" customWidth="1"/>
    <col min="4" max="4" width="9" style="95" hidden="1" customWidth="1" outlineLevel="1"/>
    <col min="5" max="5" width="9" style="95" customWidth="1" collapsed="1"/>
    <col min="6" max="6" width="9" style="95" hidden="1" customWidth="1" outlineLevel="1"/>
    <col min="7" max="7" width="8.5703125" style="95" customWidth="1" collapsed="1"/>
    <col min="8" max="8" width="9" style="95" customWidth="1"/>
    <col min="9" max="9" width="3" style="95" customWidth="1"/>
    <col min="10" max="11" width="9" style="95" customWidth="1"/>
    <col min="12" max="12" width="9" style="95" hidden="1" customWidth="1" outlineLevel="1"/>
    <col min="13" max="13" width="9" style="95" customWidth="1" collapsed="1"/>
    <col min="14" max="14" width="9" style="95" hidden="1" customWidth="1" outlineLevel="1"/>
    <col min="15" max="15" width="9" style="95" customWidth="1" collapsed="1"/>
    <col min="16" max="16" width="10.5703125" style="95" customWidth="1"/>
    <col min="17" max="17" width="5.140625" style="95" customWidth="1"/>
    <col min="18" max="19" width="9" style="95" customWidth="1"/>
    <col min="20" max="20" width="9" style="95" hidden="1" customWidth="1" outlineLevel="1"/>
    <col min="21" max="21" width="9" style="95" customWidth="1" collapsed="1"/>
    <col min="22" max="22" width="9" style="95" hidden="1" customWidth="1" outlineLevel="1"/>
    <col min="23" max="23" width="9" style="95" customWidth="1" collapsed="1"/>
    <col min="24" max="24" width="9" style="95" customWidth="1"/>
    <col min="25" max="25" width="5.140625" style="95" customWidth="1"/>
    <col min="26" max="27" width="9" style="95" customWidth="1"/>
    <col min="28" max="28" width="9" style="95" hidden="1" customWidth="1" outlineLevel="1"/>
    <col min="29" max="29" width="9" style="95" customWidth="1" collapsed="1"/>
    <col min="30" max="30" width="9" style="95" hidden="1" customWidth="1" outlineLevel="1"/>
    <col min="31" max="31" width="9" style="95" customWidth="1" collapsed="1"/>
    <col min="32" max="32" width="10.5703125" style="95" customWidth="1"/>
    <col min="33" max="33" width="3" style="95" customWidth="1"/>
    <col min="34" max="34" width="9" style="95" customWidth="1"/>
    <col min="35" max="35" width="9.5703125" style="95" customWidth="1"/>
    <col min="36" max="36" width="9" style="95" hidden="1" customWidth="1" outlineLevel="1"/>
    <col min="37" max="37" width="9" style="95" customWidth="1" collapsed="1"/>
    <col min="38" max="38" width="9" style="95" hidden="1" customWidth="1" outlineLevel="1"/>
    <col min="39" max="39" width="9.5703125" style="95" customWidth="1" collapsed="1"/>
    <col min="40" max="40" width="9" style="95" customWidth="1"/>
    <col min="41" max="41" width="3" style="95" customWidth="1"/>
    <col min="42" max="42" width="9" style="95" customWidth="1"/>
    <col min="43" max="43" width="8.5703125" style="95" customWidth="1"/>
    <col min="44" max="46" width="9" style="95" customWidth="1"/>
    <col min="47" max="16384" width="9.140625" style="95"/>
  </cols>
  <sheetData>
    <row r="1" spans="1:46" x14ac:dyDescent="0.25">
      <c r="A1" s="202" t="s">
        <v>41</v>
      </c>
      <c r="B1" s="79">
        <v>127.8</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row>
    <row r="2" spans="1:46" x14ac:dyDescent="0.25">
      <c r="A2" s="5" t="s">
        <v>42</v>
      </c>
      <c r="B2" s="206">
        <v>51.2</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row>
    <row r="3" spans="1:46" ht="15" customHeight="1" x14ac:dyDescent="0.25">
      <c r="A3" s="42" t="s">
        <v>43</v>
      </c>
      <c r="B3" s="206">
        <v>3.4</v>
      </c>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row>
    <row r="4" spans="1:46" s="100" customFormat="1" ht="15" customHeight="1" x14ac:dyDescent="0.25">
      <c r="A4" s="5" t="s">
        <v>44</v>
      </c>
      <c r="B4" s="206">
        <v>73.2</v>
      </c>
      <c r="C4" s="97"/>
      <c r="D4" s="97"/>
      <c r="E4" s="97"/>
      <c r="F4" s="89"/>
      <c r="G4" s="97"/>
      <c r="H4"/>
      <c r="I4" s="89"/>
      <c r="J4" s="97"/>
      <c r="K4" s="97"/>
      <c r="L4" s="97"/>
      <c r="M4" s="97"/>
      <c r="N4" s="89"/>
      <c r="O4" s="97"/>
      <c r="P4" s="97"/>
      <c r="Q4" s="89"/>
      <c r="R4" s="97"/>
      <c r="S4" s="97"/>
      <c r="T4" s="97"/>
      <c r="U4" s="97"/>
      <c r="V4" s="89"/>
      <c r="W4" s="97"/>
      <c r="X4" s="97"/>
      <c r="Y4" s="89"/>
      <c r="Z4" s="89"/>
      <c r="AA4" s="89"/>
      <c r="AB4" s="89"/>
      <c r="AC4" s="89"/>
      <c r="AD4" s="89"/>
      <c r="AE4" s="89"/>
      <c r="AF4" s="89"/>
      <c r="AG4" s="89"/>
      <c r="AH4" s="89"/>
      <c r="AI4" s="89"/>
      <c r="AJ4" s="89"/>
      <c r="AK4" s="89"/>
      <c r="AL4" s="89"/>
      <c r="AM4" s="89"/>
      <c r="AN4" s="89"/>
      <c r="AO4" s="89"/>
      <c r="AP4" s="97"/>
      <c r="AQ4" s="97"/>
      <c r="AR4" s="97"/>
      <c r="AS4" s="97"/>
      <c r="AT4" s="97"/>
    </row>
    <row r="5" spans="1:46" s="100" customFormat="1" ht="15" customHeight="1" x14ac:dyDescent="0.25">
      <c r="A5" s="5"/>
      <c r="B5" s="206"/>
      <c r="C5" s="97"/>
      <c r="D5" s="97"/>
      <c r="E5" s="97"/>
      <c r="F5" s="89"/>
      <c r="G5" s="97"/>
      <c r="H5" s="97"/>
      <c r="I5" s="89"/>
      <c r="J5" s="97"/>
      <c r="K5" s="97"/>
      <c r="L5" s="97"/>
      <c r="M5" s="97"/>
      <c r="N5" s="89"/>
      <c r="O5" s="97"/>
      <c r="P5" s="97"/>
      <c r="Q5" s="89"/>
      <c r="R5" s="97"/>
      <c r="S5" s="97"/>
      <c r="T5" s="97"/>
      <c r="U5" s="97"/>
      <c r="V5" s="89"/>
      <c r="W5" s="97"/>
      <c r="X5" s="97"/>
      <c r="Y5" s="89"/>
      <c r="Z5" s="89"/>
      <c r="AA5" s="89"/>
      <c r="AB5" s="89"/>
      <c r="AC5" s="89"/>
      <c r="AD5" s="89"/>
      <c r="AE5" s="89"/>
      <c r="AF5" s="89"/>
      <c r="AG5" s="89"/>
      <c r="AH5" s="89"/>
      <c r="AI5" s="89"/>
      <c r="AJ5" s="89"/>
      <c r="AK5" s="89"/>
      <c r="AL5" s="89"/>
      <c r="AM5" s="89"/>
      <c r="AN5" s="89"/>
      <c r="AO5" s="89"/>
      <c r="AP5" s="97"/>
      <c r="AQ5" s="97"/>
      <c r="AR5" s="97"/>
      <c r="AS5" s="97"/>
      <c r="AT5" s="97"/>
    </row>
    <row r="6" spans="1:46" s="100" customFormat="1" x14ac:dyDescent="0.25">
      <c r="A6" s="5"/>
      <c r="B6" s="206"/>
      <c r="C6" s="97"/>
      <c r="D6" s="97"/>
      <c r="E6" s="97"/>
      <c r="F6" s="89"/>
      <c r="G6" s="97"/>
      <c r="H6" s="97"/>
      <c r="I6" s="89"/>
      <c r="J6" s="97"/>
      <c r="K6" s="97"/>
      <c r="L6" s="97"/>
      <c r="M6" s="97"/>
      <c r="N6" s="89"/>
      <c r="O6" s="97"/>
      <c r="P6" s="97"/>
      <c r="Q6" s="89"/>
      <c r="R6" s="97"/>
      <c r="S6" s="97"/>
      <c r="T6" s="97"/>
      <c r="U6" s="97"/>
      <c r="V6" s="89"/>
      <c r="W6" s="97"/>
      <c r="X6" s="97"/>
      <c r="Y6" s="89"/>
      <c r="Z6" s="89"/>
      <c r="AA6" s="89"/>
      <c r="AB6" s="89"/>
      <c r="AC6" s="89"/>
      <c r="AD6" s="89"/>
      <c r="AE6" s="89"/>
      <c r="AF6" s="89"/>
      <c r="AG6" s="89"/>
      <c r="AH6" s="89"/>
      <c r="AI6" s="89"/>
      <c r="AJ6" s="89"/>
      <c r="AK6" s="89"/>
      <c r="AL6" s="89"/>
      <c r="AM6" s="89"/>
      <c r="AN6" s="89"/>
      <c r="AO6" s="89"/>
      <c r="AP6" s="97"/>
      <c r="AQ6" s="97"/>
      <c r="AR6" s="97"/>
      <c r="AS6" s="97"/>
      <c r="AT6" s="97"/>
    </row>
    <row r="7" spans="1:46" s="100" customFormat="1" ht="15" customHeight="1" x14ac:dyDescent="0.25">
      <c r="A7" s="5"/>
      <c r="B7" s="206"/>
      <c r="C7" s="97"/>
      <c r="D7" s="97"/>
      <c r="E7" s="97"/>
      <c r="F7" s="89"/>
      <c r="G7" s="97"/>
      <c r="H7" s="97"/>
      <c r="I7" s="89"/>
      <c r="J7" s="97"/>
      <c r="K7" s="97"/>
      <c r="L7" s="97"/>
      <c r="M7" s="97"/>
      <c r="N7" s="89"/>
      <c r="O7" s="97"/>
      <c r="P7" s="97"/>
      <c r="Q7" s="89"/>
      <c r="R7" s="97"/>
      <c r="S7" s="97"/>
      <c r="T7" s="97"/>
      <c r="U7" s="97"/>
      <c r="V7" s="89"/>
      <c r="W7" s="97"/>
      <c r="X7" s="97"/>
      <c r="Y7" s="89"/>
      <c r="Z7" s="89"/>
      <c r="AA7" s="89"/>
      <c r="AB7" s="89"/>
      <c r="AC7" s="89"/>
      <c r="AD7" s="89"/>
      <c r="AE7" s="89"/>
      <c r="AF7" s="89"/>
      <c r="AG7" s="89"/>
      <c r="AH7" s="89"/>
      <c r="AI7" s="89"/>
      <c r="AJ7" s="89"/>
      <c r="AK7" s="89"/>
      <c r="AL7" s="89"/>
      <c r="AM7" s="89"/>
      <c r="AN7" s="89"/>
      <c r="AO7" s="89"/>
      <c r="AP7" s="97"/>
      <c r="AQ7" s="97"/>
      <c r="AR7" s="97"/>
      <c r="AS7" s="97"/>
      <c r="AT7" s="97"/>
    </row>
    <row r="8" spans="1:46" s="100" customFormat="1" ht="15" customHeight="1" x14ac:dyDescent="0.25">
      <c r="A8" s="5" t="s">
        <v>132</v>
      </c>
      <c r="B8" s="206">
        <v>85.9</v>
      </c>
      <c r="C8" s="97"/>
      <c r="D8" s="97"/>
      <c r="E8" s="97"/>
      <c r="F8" s="89"/>
      <c r="G8" s="97"/>
      <c r="H8" s="97"/>
      <c r="I8" s="89"/>
      <c r="J8" s="97"/>
      <c r="K8" s="97"/>
      <c r="L8" s="97"/>
      <c r="M8" s="97"/>
      <c r="N8" s="89"/>
      <c r="O8" s="97"/>
      <c r="P8" s="97"/>
      <c r="Q8" s="89"/>
      <c r="R8" s="97"/>
      <c r="S8" s="97"/>
      <c r="T8" s="97"/>
      <c r="U8" s="97"/>
      <c r="V8" s="89"/>
      <c r="W8" s="97"/>
      <c r="X8" s="97"/>
      <c r="Y8" s="89"/>
      <c r="Z8" s="89"/>
      <c r="AA8" s="89"/>
      <c r="AB8" s="89"/>
      <c r="AC8" s="89"/>
      <c r="AD8" s="89"/>
      <c r="AE8" s="89"/>
      <c r="AF8" s="89"/>
      <c r="AG8" s="89"/>
      <c r="AH8" s="89"/>
      <c r="AI8" s="89"/>
      <c r="AJ8" s="89"/>
      <c r="AK8" s="89"/>
      <c r="AL8" s="89"/>
      <c r="AM8" s="89"/>
      <c r="AN8" s="89"/>
      <c r="AO8" s="89"/>
      <c r="AP8" s="97"/>
      <c r="AQ8" s="97"/>
      <c r="AR8" s="97"/>
      <c r="AS8" s="97"/>
      <c r="AT8" s="97"/>
    </row>
    <row r="9" spans="1:46" s="100" customFormat="1" ht="15" customHeight="1" x14ac:dyDescent="0.25">
      <c r="A9" s="5" t="s">
        <v>133</v>
      </c>
      <c r="B9" s="206">
        <v>3.3</v>
      </c>
      <c r="C9" s="97"/>
      <c r="D9" s="97"/>
      <c r="E9" s="97"/>
      <c r="F9" s="89"/>
      <c r="G9" s="97"/>
      <c r="H9" s="97"/>
      <c r="I9" s="89"/>
      <c r="J9" s="97"/>
      <c r="K9" s="97"/>
      <c r="L9" s="97"/>
      <c r="M9" s="97"/>
      <c r="N9" s="89"/>
      <c r="O9" s="97"/>
      <c r="P9" s="97"/>
      <c r="Q9" s="89"/>
      <c r="R9" s="97"/>
      <c r="S9" s="97"/>
      <c r="T9" s="97"/>
      <c r="U9" s="97"/>
      <c r="V9" s="89"/>
      <c r="W9" s="97"/>
      <c r="X9" s="97"/>
      <c r="Y9" s="89"/>
      <c r="Z9" s="89"/>
      <c r="AA9" s="89"/>
      <c r="AB9" s="89"/>
      <c r="AC9" s="89"/>
      <c r="AD9" s="89"/>
      <c r="AE9" s="89"/>
      <c r="AF9" s="89"/>
      <c r="AG9" s="89"/>
      <c r="AH9" s="89"/>
      <c r="AI9" s="89"/>
      <c r="AJ9" s="89"/>
      <c r="AK9" s="89"/>
      <c r="AL9" s="89"/>
      <c r="AM9" s="89"/>
      <c r="AN9" s="89"/>
      <c r="AO9" s="89"/>
      <c r="AP9" s="97"/>
      <c r="AQ9" s="97"/>
      <c r="AR9" s="97"/>
      <c r="AS9" s="97"/>
      <c r="AT9" s="97"/>
    </row>
    <row r="10" spans="1:46" s="100" customFormat="1" ht="15" customHeight="1" x14ac:dyDescent="0.25">
      <c r="A10" s="5" t="s">
        <v>134</v>
      </c>
      <c r="B10" s="206">
        <v>0.5</v>
      </c>
      <c r="C10" s="97"/>
      <c r="D10" s="97"/>
      <c r="E10" s="97"/>
      <c r="F10" s="89"/>
      <c r="G10" s="97"/>
      <c r="H10" s="97"/>
      <c r="I10" s="89"/>
      <c r="J10" s="97"/>
      <c r="K10" s="97"/>
      <c r="L10" s="97"/>
      <c r="M10" s="97"/>
      <c r="N10" s="89"/>
      <c r="O10" s="97"/>
      <c r="P10" s="97"/>
      <c r="Q10" s="89"/>
      <c r="R10" s="97"/>
      <c r="S10" s="97"/>
      <c r="T10" s="97"/>
      <c r="U10" s="97"/>
      <c r="V10" s="89"/>
      <c r="W10" s="97"/>
      <c r="X10" s="97"/>
      <c r="Y10" s="89"/>
      <c r="Z10" s="89"/>
      <c r="AA10" s="89"/>
      <c r="AB10" s="89"/>
      <c r="AC10" s="89"/>
      <c r="AD10" s="89"/>
      <c r="AE10" s="89"/>
      <c r="AF10" s="89"/>
      <c r="AG10" s="89"/>
      <c r="AH10" s="89"/>
      <c r="AI10" s="89"/>
      <c r="AJ10" s="89"/>
      <c r="AK10" s="89"/>
      <c r="AL10" s="89"/>
      <c r="AM10" s="89"/>
      <c r="AN10" s="89"/>
      <c r="AO10" s="89"/>
      <c r="AP10" s="97"/>
      <c r="AQ10" s="97"/>
      <c r="AR10" s="97"/>
      <c r="AS10" s="97"/>
      <c r="AT10" s="97"/>
    </row>
    <row r="11" spans="1:46" s="100" customFormat="1" ht="15" customHeight="1" x14ac:dyDescent="0.25">
      <c r="A11" s="5"/>
      <c r="B11" s="206"/>
      <c r="C11" s="97"/>
      <c r="D11" s="97"/>
      <c r="E11" s="97"/>
      <c r="F11" s="89"/>
      <c r="G11" s="97"/>
      <c r="H11" s="97"/>
      <c r="I11" s="89"/>
      <c r="J11" s="97"/>
      <c r="K11" s="97"/>
      <c r="L11" s="97"/>
      <c r="M11" s="97"/>
      <c r="N11" s="89"/>
      <c r="O11" s="97"/>
      <c r="P11" s="97"/>
      <c r="Q11" s="89"/>
      <c r="R11" s="97"/>
      <c r="S11" s="97"/>
      <c r="T11" s="97"/>
      <c r="U11" s="97"/>
      <c r="V11" s="89"/>
      <c r="W11" s="97"/>
      <c r="X11" s="97"/>
      <c r="Y11" s="89"/>
      <c r="Z11" s="89"/>
      <c r="AA11" s="89"/>
      <c r="AB11" s="89"/>
      <c r="AC11" s="89"/>
      <c r="AD11" s="89"/>
      <c r="AE11" s="89"/>
      <c r="AF11" s="89"/>
      <c r="AG11" s="89"/>
      <c r="AH11" s="89"/>
      <c r="AI11" s="89"/>
      <c r="AJ11" s="89"/>
      <c r="AK11" s="89"/>
      <c r="AL11" s="89"/>
      <c r="AM11" s="89"/>
      <c r="AN11" s="89"/>
      <c r="AO11" s="89"/>
      <c r="AP11" s="97"/>
      <c r="AQ11" s="97"/>
      <c r="AR11" s="97"/>
      <c r="AS11" s="97"/>
      <c r="AT11" s="97"/>
    </row>
    <row r="12" spans="1:46" s="100" customFormat="1" x14ac:dyDescent="0.25">
      <c r="A12" s="5" t="s">
        <v>135</v>
      </c>
      <c r="B12" s="207">
        <v>229.3</v>
      </c>
      <c r="C12" s="103"/>
      <c r="D12" s="103"/>
      <c r="E12" s="103"/>
      <c r="F12" s="89"/>
      <c r="G12" s="103"/>
      <c r="H12" s="103"/>
      <c r="I12" s="89"/>
      <c r="J12" s="103"/>
      <c r="K12" s="103"/>
      <c r="L12" s="103"/>
      <c r="M12" s="103"/>
      <c r="N12" s="89"/>
      <c r="O12" s="103"/>
      <c r="P12" s="103"/>
      <c r="Q12" s="89"/>
      <c r="R12" s="103"/>
      <c r="S12" s="103"/>
      <c r="T12" s="103"/>
      <c r="U12" s="103"/>
      <c r="V12" s="89"/>
      <c r="W12" s="103"/>
      <c r="X12" s="103"/>
      <c r="Y12" s="89"/>
      <c r="Z12" s="89"/>
      <c r="AA12" s="89"/>
      <c r="AB12" s="89"/>
      <c r="AC12" s="89"/>
      <c r="AD12" s="89"/>
      <c r="AE12" s="89"/>
      <c r="AF12" s="89"/>
      <c r="AG12" s="89"/>
      <c r="AH12" s="89"/>
      <c r="AI12" s="89"/>
      <c r="AJ12" s="89"/>
      <c r="AK12" s="89"/>
      <c r="AL12" s="89"/>
      <c r="AM12" s="89"/>
      <c r="AN12" s="89"/>
      <c r="AO12" s="89"/>
      <c r="AP12" s="103"/>
      <c r="AQ12" s="103"/>
      <c r="AR12" s="103"/>
      <c r="AS12" s="103"/>
      <c r="AT12" s="103"/>
    </row>
    <row r="13" spans="1:46" x14ac:dyDescent="0.25">
      <c r="A13" s="5" t="s">
        <v>119</v>
      </c>
      <c r="B13" s="206">
        <v>57.6</v>
      </c>
      <c r="C13" s="105"/>
      <c r="D13" s="105"/>
      <c r="E13" s="105"/>
      <c r="F13" s="105"/>
      <c r="G13" s="105"/>
      <c r="H13" s="105"/>
      <c r="I13" s="77"/>
      <c r="J13" s="105"/>
      <c r="K13" s="105"/>
      <c r="L13" s="105"/>
      <c r="M13" s="105"/>
      <c r="N13" s="105"/>
      <c r="O13" s="105"/>
      <c r="P13" s="105"/>
      <c r="Q13" s="77"/>
      <c r="R13" s="105"/>
      <c r="S13" s="105"/>
      <c r="T13" s="105"/>
      <c r="U13" s="105"/>
      <c r="V13" s="105"/>
      <c r="W13" s="105"/>
      <c r="X13" s="105"/>
      <c r="Y13" s="77"/>
      <c r="Z13" s="77"/>
      <c r="AA13" s="77"/>
      <c r="AB13" s="77"/>
      <c r="AC13" s="77"/>
      <c r="AD13" s="77"/>
      <c r="AE13" s="77"/>
      <c r="AF13" s="77"/>
      <c r="AG13" s="77"/>
      <c r="AH13" s="77"/>
      <c r="AI13" s="77"/>
      <c r="AJ13" s="77"/>
      <c r="AK13" s="77"/>
      <c r="AL13" s="77"/>
      <c r="AM13" s="77"/>
      <c r="AN13" s="77"/>
      <c r="AO13" s="77"/>
      <c r="AP13" s="105"/>
      <c r="AQ13" s="105"/>
      <c r="AR13" s="105"/>
      <c r="AS13" s="105"/>
      <c r="AT13" s="105"/>
    </row>
    <row r="14" spans="1:46" x14ac:dyDescent="0.25">
      <c r="A14" s="5" t="s">
        <v>120</v>
      </c>
      <c r="B14" s="206">
        <v>171.7</v>
      </c>
      <c r="C14" s="105"/>
      <c r="D14" s="105"/>
      <c r="E14" s="105"/>
      <c r="F14" s="105"/>
      <c r="G14" s="105"/>
      <c r="H14" s="105"/>
      <c r="I14" s="77"/>
      <c r="J14" s="105"/>
      <c r="K14" s="105"/>
      <c r="L14" s="105"/>
      <c r="M14" s="105"/>
      <c r="N14" s="105"/>
      <c r="O14" s="105"/>
      <c r="P14" s="105"/>
      <c r="Q14" s="77"/>
      <c r="R14" s="105"/>
      <c r="S14" s="105"/>
      <c r="T14" s="105"/>
      <c r="U14" s="105"/>
      <c r="V14" s="105"/>
      <c r="W14" s="105"/>
      <c r="X14" s="105"/>
      <c r="Y14" s="77"/>
      <c r="Z14" s="77"/>
      <c r="AA14" s="77"/>
      <c r="AB14" s="77"/>
      <c r="AC14" s="77"/>
      <c r="AD14" s="77"/>
      <c r="AE14" s="77"/>
      <c r="AF14" s="77"/>
      <c r="AG14" s="77"/>
      <c r="AH14" s="77"/>
      <c r="AI14" s="77"/>
      <c r="AJ14" s="77"/>
      <c r="AK14" s="77"/>
      <c r="AL14" s="77"/>
      <c r="AM14" s="77"/>
      <c r="AN14" s="77"/>
      <c r="AO14" s="77"/>
      <c r="AP14" s="105"/>
      <c r="AQ14" s="105"/>
      <c r="AR14" s="105"/>
      <c r="AS14" s="105"/>
      <c r="AT14" s="105"/>
    </row>
    <row r="15" spans="1:46" x14ac:dyDescent="0.25">
      <c r="A15" s="5"/>
      <c r="B15" s="206"/>
      <c r="C15" s="105"/>
      <c r="D15" s="105"/>
      <c r="E15" s="105"/>
      <c r="F15" s="105"/>
      <c r="G15" s="105"/>
      <c r="H15" s="105"/>
      <c r="I15" s="77"/>
      <c r="J15" s="105"/>
      <c r="K15" s="105"/>
      <c r="L15" s="105"/>
      <c r="M15" s="105"/>
      <c r="N15" s="105"/>
      <c r="O15" s="105"/>
      <c r="P15" s="105"/>
      <c r="Q15" s="77"/>
      <c r="R15" s="105"/>
      <c r="S15" s="105"/>
      <c r="T15" s="105"/>
      <c r="U15" s="105"/>
      <c r="V15" s="105"/>
      <c r="W15" s="105"/>
      <c r="X15" s="105"/>
      <c r="Y15" s="77"/>
      <c r="Z15" s="77"/>
      <c r="AA15" s="77"/>
      <c r="AB15" s="77"/>
      <c r="AC15" s="77"/>
      <c r="AD15" s="77"/>
      <c r="AE15" s="77"/>
      <c r="AF15" s="77"/>
      <c r="AG15" s="77"/>
      <c r="AH15" s="77"/>
      <c r="AI15" s="77"/>
      <c r="AJ15" s="77"/>
      <c r="AK15" s="77"/>
      <c r="AL15" s="77"/>
      <c r="AM15" s="77"/>
      <c r="AN15" s="77"/>
      <c r="AO15" s="77"/>
      <c r="AP15" s="105"/>
      <c r="AQ15" s="105"/>
      <c r="AR15" s="105"/>
      <c r="AS15" s="105"/>
      <c r="AT15" s="105"/>
    </row>
    <row r="16" spans="1:46" ht="15.75" thickBot="1" x14ac:dyDescent="0.3">
      <c r="A16" s="15" t="s">
        <v>116</v>
      </c>
      <c r="B16" s="208">
        <v>88.5</v>
      </c>
      <c r="C16" s="105"/>
      <c r="D16" s="105"/>
      <c r="E16" s="105"/>
      <c r="F16" s="105"/>
      <c r="G16" s="105"/>
      <c r="H16" s="105"/>
      <c r="I16" s="77"/>
      <c r="J16" s="105"/>
      <c r="K16" s="105"/>
      <c r="L16" s="105"/>
      <c r="M16" s="105"/>
      <c r="N16" s="105"/>
      <c r="O16" s="105"/>
      <c r="P16" s="105"/>
      <c r="Q16" s="77"/>
      <c r="R16" s="105"/>
      <c r="S16" s="105"/>
      <c r="T16" s="105"/>
      <c r="U16" s="105"/>
      <c r="V16" s="105"/>
      <c r="W16" s="105"/>
      <c r="X16" s="105"/>
      <c r="Y16" s="77"/>
      <c r="Z16" s="77"/>
      <c r="AA16" s="77"/>
      <c r="AB16" s="77"/>
      <c r="AC16" s="77"/>
      <c r="AD16" s="77"/>
      <c r="AE16" s="77"/>
      <c r="AF16" s="77"/>
      <c r="AG16" s="77"/>
      <c r="AH16" s="77"/>
      <c r="AI16" s="77"/>
      <c r="AJ16" s="77"/>
      <c r="AK16" s="77"/>
      <c r="AL16" s="77"/>
      <c r="AM16" s="77"/>
      <c r="AN16" s="77"/>
      <c r="AO16" s="77"/>
      <c r="AP16" s="105"/>
      <c r="AQ16" s="105"/>
      <c r="AR16" s="105"/>
      <c r="AS16" s="105"/>
      <c r="AT16" s="105"/>
    </row>
    <row r="17" spans="1:46" x14ac:dyDescent="0.25">
      <c r="A17" s="5"/>
      <c r="B17" s="210"/>
      <c r="C17" s="105"/>
      <c r="D17" s="105"/>
      <c r="E17" s="105"/>
      <c r="F17" s="105"/>
      <c r="G17" s="105"/>
      <c r="H17" s="105"/>
      <c r="I17" s="77"/>
      <c r="J17" s="105"/>
      <c r="K17" s="105"/>
      <c r="L17" s="105"/>
      <c r="M17" s="105"/>
      <c r="N17" s="105"/>
      <c r="O17" s="105"/>
      <c r="P17" s="105"/>
      <c r="Q17" s="77"/>
      <c r="R17" s="105"/>
      <c r="S17" s="105"/>
      <c r="T17" s="105"/>
      <c r="U17" s="105"/>
      <c r="V17" s="105"/>
      <c r="W17" s="105"/>
      <c r="X17" s="105"/>
      <c r="Y17" s="77"/>
      <c r="Z17" s="77"/>
      <c r="AA17" s="77"/>
      <c r="AB17" s="77"/>
      <c r="AC17" s="77"/>
      <c r="AD17" s="77"/>
      <c r="AE17" s="77"/>
      <c r="AF17" s="77"/>
      <c r="AG17" s="77"/>
      <c r="AH17" s="77"/>
      <c r="AI17" s="77"/>
      <c r="AJ17" s="77"/>
      <c r="AK17" s="77"/>
      <c r="AL17" s="77"/>
      <c r="AM17" s="77"/>
      <c r="AN17" s="77"/>
      <c r="AO17" s="77"/>
      <c r="AP17" s="105"/>
      <c r="AQ17" s="105"/>
      <c r="AR17" s="105"/>
      <c r="AS17" s="105"/>
      <c r="AT17" s="105"/>
    </row>
    <row r="18" spans="1:46" x14ac:dyDescent="0.25">
      <c r="A18" s="5"/>
      <c r="B18" s="210"/>
      <c r="C18" s="105"/>
      <c r="D18" s="105"/>
      <c r="E18" s="105"/>
      <c r="F18" s="105"/>
      <c r="G18" s="105"/>
      <c r="H18" s="105"/>
      <c r="I18" s="77"/>
      <c r="J18" s="105"/>
      <c r="K18" s="105"/>
      <c r="L18" s="105"/>
      <c r="M18" s="105"/>
      <c r="N18" s="105"/>
      <c r="O18" s="105"/>
      <c r="P18" s="105"/>
      <c r="Q18" s="77"/>
      <c r="R18" s="105"/>
      <c r="S18" s="105"/>
      <c r="T18" s="105"/>
      <c r="U18" s="105"/>
      <c r="V18" s="105"/>
      <c r="W18" s="105"/>
      <c r="X18" s="105"/>
      <c r="Y18" s="77"/>
      <c r="Z18" s="77"/>
      <c r="AA18" s="77"/>
      <c r="AB18" s="77"/>
      <c r="AC18" s="77"/>
      <c r="AD18" s="77"/>
      <c r="AE18" s="77"/>
      <c r="AF18" s="77"/>
      <c r="AG18" s="77"/>
      <c r="AH18" s="77"/>
      <c r="AI18" s="77"/>
      <c r="AJ18" s="77"/>
      <c r="AK18" s="77"/>
      <c r="AL18" s="77"/>
      <c r="AM18" s="77"/>
      <c r="AN18" s="77"/>
      <c r="AO18" s="77"/>
      <c r="AP18" s="105"/>
      <c r="AQ18" s="105"/>
      <c r="AR18" s="105"/>
      <c r="AS18" s="105"/>
      <c r="AT18" s="105"/>
    </row>
    <row r="19" spans="1:46" ht="15.75" thickBot="1" x14ac:dyDescent="0.3">
      <c r="A19" s="42"/>
      <c r="B19" s="105"/>
      <c r="C19" s="105"/>
      <c r="D19" s="105"/>
      <c r="E19" s="105"/>
      <c r="F19" s="105"/>
      <c r="G19" s="105"/>
      <c r="H19" s="105"/>
      <c r="I19" s="77"/>
      <c r="J19" s="105"/>
      <c r="K19" s="105"/>
      <c r="L19" s="105"/>
      <c r="M19" s="105"/>
      <c r="N19" s="105"/>
      <c r="O19" s="105"/>
      <c r="P19" s="105"/>
      <c r="Q19" s="77"/>
      <c r="R19" s="105"/>
      <c r="S19" s="105"/>
      <c r="T19" s="105"/>
      <c r="U19" s="105"/>
      <c r="V19" s="105"/>
      <c r="W19" s="105"/>
      <c r="X19" s="105"/>
      <c r="Y19" s="77"/>
      <c r="Z19" s="77"/>
      <c r="AA19" s="77"/>
      <c r="AB19" s="77"/>
      <c r="AC19" s="77"/>
      <c r="AD19" s="77"/>
      <c r="AE19" s="77"/>
      <c r="AF19" s="77"/>
      <c r="AG19" s="77"/>
      <c r="AH19" s="77"/>
      <c r="AI19" s="77"/>
      <c r="AJ19" s="77"/>
      <c r="AK19" s="77"/>
      <c r="AL19" s="77"/>
      <c r="AM19" s="77"/>
      <c r="AN19" s="77"/>
      <c r="AO19" s="77"/>
      <c r="AP19" s="105"/>
      <c r="AQ19" s="105"/>
      <c r="AR19" s="105"/>
      <c r="AS19" s="105"/>
      <c r="AT19" s="105"/>
    </row>
    <row r="20" spans="1:46" ht="15.75" thickBot="1" x14ac:dyDescent="0.3">
      <c r="A20" s="42"/>
      <c r="B20" s="264">
        <v>2011</v>
      </c>
      <c r="C20" s="265"/>
      <c r="D20" s="265"/>
      <c r="E20" s="265"/>
      <c r="F20" s="265"/>
      <c r="G20" s="265"/>
      <c r="H20" s="266"/>
      <c r="I20" s="77"/>
      <c r="J20" s="264">
        <v>2010</v>
      </c>
      <c r="K20" s="265"/>
      <c r="L20" s="265"/>
      <c r="M20" s="265"/>
      <c r="N20" s="265"/>
      <c r="O20" s="265"/>
      <c r="P20" s="266"/>
      <c r="Q20" s="77"/>
      <c r="R20" s="264">
        <v>2009</v>
      </c>
      <c r="S20" s="265"/>
      <c r="T20" s="265"/>
      <c r="U20" s="265"/>
      <c r="V20" s="265"/>
      <c r="W20" s="265"/>
      <c r="X20" s="266"/>
      <c r="Y20" s="77"/>
      <c r="Z20" s="264">
        <v>2008</v>
      </c>
      <c r="AA20" s="265"/>
      <c r="AB20" s="265"/>
      <c r="AC20" s="265"/>
      <c r="AD20" s="265"/>
      <c r="AE20" s="265"/>
      <c r="AF20" s="266"/>
      <c r="AG20" s="77"/>
      <c r="AH20" s="264">
        <v>2007</v>
      </c>
      <c r="AI20" s="265"/>
      <c r="AJ20" s="265"/>
      <c r="AK20" s="265"/>
      <c r="AL20" s="265"/>
      <c r="AM20" s="265"/>
      <c r="AN20" s="266"/>
      <c r="AO20" s="77"/>
      <c r="AP20" s="264">
        <v>2006</v>
      </c>
      <c r="AQ20" s="265"/>
      <c r="AR20" s="265"/>
      <c r="AS20" s="265"/>
      <c r="AT20" s="266"/>
    </row>
    <row r="21" spans="1:46" s="158" customFormat="1" x14ac:dyDescent="0.25">
      <c r="A21" s="114"/>
      <c r="B21" s="153" t="s">
        <v>3</v>
      </c>
      <c r="C21" s="97" t="s">
        <v>4</v>
      </c>
      <c r="D21" s="97" t="s">
        <v>5</v>
      </c>
      <c r="E21" s="97" t="s">
        <v>6</v>
      </c>
      <c r="F21" s="97" t="s">
        <v>7</v>
      </c>
      <c r="G21" s="97" t="s">
        <v>8</v>
      </c>
      <c r="H21" s="99" t="s">
        <v>9</v>
      </c>
      <c r="I21" s="115"/>
      <c r="J21" s="153" t="s">
        <v>3</v>
      </c>
      <c r="K21" s="97" t="s">
        <v>4</v>
      </c>
      <c r="L21" s="97" t="s">
        <v>5</v>
      </c>
      <c r="M21" s="97" t="s">
        <v>6</v>
      </c>
      <c r="N21" s="97" t="s">
        <v>7</v>
      </c>
      <c r="O21" s="97" t="s">
        <v>8</v>
      </c>
      <c r="P21" s="99" t="s">
        <v>9</v>
      </c>
      <c r="Q21" s="115"/>
      <c r="R21" s="153" t="s">
        <v>3</v>
      </c>
      <c r="S21" s="97" t="s">
        <v>4</v>
      </c>
      <c r="T21" s="97" t="s">
        <v>5</v>
      </c>
      <c r="U21" s="97" t="s">
        <v>6</v>
      </c>
      <c r="V21" s="97" t="s">
        <v>7</v>
      </c>
      <c r="W21" s="97" t="s">
        <v>8</v>
      </c>
      <c r="X21" s="99" t="s">
        <v>9</v>
      </c>
      <c r="Y21" s="115"/>
      <c r="Z21" s="153" t="s">
        <v>3</v>
      </c>
      <c r="AA21" s="97" t="s">
        <v>4</v>
      </c>
      <c r="AB21" s="97" t="s">
        <v>5</v>
      </c>
      <c r="AC21" s="97" t="s">
        <v>6</v>
      </c>
      <c r="AD21" s="97" t="s">
        <v>7</v>
      </c>
      <c r="AE21" s="97" t="s">
        <v>8</v>
      </c>
      <c r="AF21" s="99" t="s">
        <v>9</v>
      </c>
      <c r="AG21" s="115"/>
      <c r="AH21" s="153" t="s">
        <v>3</v>
      </c>
      <c r="AI21" s="97" t="s">
        <v>4</v>
      </c>
      <c r="AJ21" s="97" t="s">
        <v>5</v>
      </c>
      <c r="AK21" s="97" t="s">
        <v>6</v>
      </c>
      <c r="AL21" s="97" t="s">
        <v>7</v>
      </c>
      <c r="AM21" s="97" t="s">
        <v>8</v>
      </c>
      <c r="AN21" s="99" t="s">
        <v>9</v>
      </c>
      <c r="AO21" s="115"/>
      <c r="AP21" s="153" t="s">
        <v>5</v>
      </c>
      <c r="AQ21" s="97" t="s">
        <v>6</v>
      </c>
      <c r="AR21" s="97" t="s">
        <v>7</v>
      </c>
      <c r="AS21" s="97" t="s">
        <v>8</v>
      </c>
      <c r="AT21" s="99" t="s">
        <v>9</v>
      </c>
    </row>
    <row r="22" spans="1:46" x14ac:dyDescent="0.25">
      <c r="A22" s="42"/>
      <c r="B22" s="107"/>
      <c r="C22" s="105"/>
      <c r="D22" s="105"/>
      <c r="E22" s="105"/>
      <c r="F22" s="105"/>
      <c r="G22" s="105"/>
      <c r="H22" s="106"/>
      <c r="I22" s="77"/>
      <c r="J22" s="107"/>
      <c r="K22" s="105"/>
      <c r="L22" s="105"/>
      <c r="M22" s="105"/>
      <c r="N22" s="105"/>
      <c r="O22" s="105"/>
      <c r="P22" s="106"/>
      <c r="Q22" s="77"/>
      <c r="R22" s="107"/>
      <c r="S22" s="105"/>
      <c r="T22" s="105"/>
      <c r="U22" s="105"/>
      <c r="V22" s="105"/>
      <c r="W22" s="105"/>
      <c r="X22" s="106"/>
      <c r="Y22" s="77"/>
      <c r="Z22" s="107"/>
      <c r="AA22" s="105"/>
      <c r="AB22" s="105"/>
      <c r="AC22" s="105"/>
      <c r="AD22" s="105"/>
      <c r="AE22" s="105"/>
      <c r="AF22" s="106"/>
      <c r="AG22" s="77"/>
      <c r="AH22" s="107"/>
      <c r="AI22" s="105"/>
      <c r="AJ22" s="105"/>
      <c r="AK22" s="105"/>
      <c r="AL22" s="105"/>
      <c r="AM22" s="105"/>
      <c r="AN22" s="106"/>
      <c r="AO22" s="77"/>
      <c r="AP22" s="107"/>
      <c r="AQ22" s="105"/>
      <c r="AR22" s="105"/>
      <c r="AS22" s="105"/>
      <c r="AT22" s="106"/>
    </row>
    <row r="23" spans="1:46" s="100" customFormat="1" x14ac:dyDescent="0.25">
      <c r="A23" s="88" t="s">
        <v>10</v>
      </c>
      <c r="B23" s="108">
        <v>246799</v>
      </c>
      <c r="C23" s="103">
        <v>255644</v>
      </c>
      <c r="D23" s="103">
        <v>502443</v>
      </c>
      <c r="E23" s="103">
        <v>277637</v>
      </c>
      <c r="F23" s="103">
        <v>780080</v>
      </c>
      <c r="G23" s="103">
        <v>50948</v>
      </c>
      <c r="H23" s="104">
        <v>831028</v>
      </c>
      <c r="I23" s="109"/>
      <c r="J23" s="108">
        <v>217402</v>
      </c>
      <c r="K23" s="103">
        <v>251353</v>
      </c>
      <c r="L23" s="103">
        <v>468755</v>
      </c>
      <c r="M23" s="103">
        <v>271334</v>
      </c>
      <c r="N23" s="103">
        <v>740089</v>
      </c>
      <c r="O23" s="103">
        <v>262423</v>
      </c>
      <c r="P23" s="104">
        <v>1002512</v>
      </c>
      <c r="Q23" s="109"/>
      <c r="R23" s="108">
        <v>163002</v>
      </c>
      <c r="S23" s="103">
        <v>169351</v>
      </c>
      <c r="T23" s="103">
        <v>332353</v>
      </c>
      <c r="U23" s="103">
        <v>193283</v>
      </c>
      <c r="V23" s="103">
        <v>525636</v>
      </c>
      <c r="W23" s="103">
        <v>219704</v>
      </c>
      <c r="X23" s="104">
        <v>745340</v>
      </c>
      <c r="Y23" s="109"/>
      <c r="Z23" s="108">
        <v>235991</v>
      </c>
      <c r="AA23" s="103">
        <v>270172</v>
      </c>
      <c r="AB23" s="103">
        <v>506163</v>
      </c>
      <c r="AC23" s="103">
        <v>265645</v>
      </c>
      <c r="AD23" s="103">
        <v>771808</v>
      </c>
      <c r="AE23" s="103">
        <v>234537</v>
      </c>
      <c r="AF23" s="104">
        <v>1006345</v>
      </c>
      <c r="AG23" s="109"/>
      <c r="AH23" s="108">
        <v>135421</v>
      </c>
      <c r="AI23" s="103">
        <v>142911</v>
      </c>
      <c r="AJ23" s="103">
        <v>278332</v>
      </c>
      <c r="AK23" s="103">
        <v>143394</v>
      </c>
      <c r="AL23" s="103">
        <v>421726</v>
      </c>
      <c r="AM23" s="103">
        <v>148153</v>
      </c>
      <c r="AN23" s="104">
        <v>569879</v>
      </c>
      <c r="AO23" s="109"/>
      <c r="AP23" s="108">
        <v>70889</v>
      </c>
      <c r="AQ23" s="103">
        <v>136993</v>
      </c>
      <c r="AR23" s="103">
        <v>207882</v>
      </c>
      <c r="AS23" s="103">
        <v>144539</v>
      </c>
      <c r="AT23" s="104">
        <v>352421</v>
      </c>
    </row>
    <row r="24" spans="1:46" s="100" customFormat="1" x14ac:dyDescent="0.25">
      <c r="A24" s="88" t="s">
        <v>11</v>
      </c>
      <c r="B24" s="108">
        <v>214850</v>
      </c>
      <c r="C24" s="103">
        <v>219656</v>
      </c>
      <c r="D24" s="103">
        <v>434506</v>
      </c>
      <c r="E24" s="103">
        <v>235909</v>
      </c>
      <c r="F24" s="103">
        <v>670415</v>
      </c>
      <c r="G24" s="103">
        <v>43670</v>
      </c>
      <c r="H24" s="104">
        <v>714085</v>
      </c>
      <c r="I24" s="109"/>
      <c r="J24" s="108">
        <v>188526</v>
      </c>
      <c r="K24" s="103">
        <v>215174</v>
      </c>
      <c r="L24" s="103">
        <v>403700</v>
      </c>
      <c r="M24" s="103">
        <v>230057</v>
      </c>
      <c r="N24" s="103">
        <v>633757</v>
      </c>
      <c r="O24" s="103">
        <v>220942</v>
      </c>
      <c r="P24" s="104">
        <v>854699</v>
      </c>
      <c r="Q24" s="109"/>
      <c r="R24" s="108">
        <v>138627</v>
      </c>
      <c r="S24" s="103">
        <v>142966</v>
      </c>
      <c r="T24" s="103">
        <v>281593</v>
      </c>
      <c r="U24" s="103">
        <v>163631</v>
      </c>
      <c r="V24" s="103">
        <v>445224</v>
      </c>
      <c r="W24" s="103">
        <v>187576</v>
      </c>
      <c r="X24" s="104">
        <v>632800</v>
      </c>
      <c r="Y24" s="109"/>
      <c r="Z24" s="108">
        <v>196550</v>
      </c>
      <c r="AA24" s="103">
        <v>223504</v>
      </c>
      <c r="AB24" s="103">
        <v>420054</v>
      </c>
      <c r="AC24" s="103">
        <v>221296</v>
      </c>
      <c r="AD24" s="103">
        <v>641350</v>
      </c>
      <c r="AE24" s="103">
        <v>191181</v>
      </c>
      <c r="AF24" s="104">
        <v>832531</v>
      </c>
      <c r="AG24" s="109"/>
      <c r="AH24" s="108">
        <v>111404</v>
      </c>
      <c r="AI24" s="103">
        <v>116724</v>
      </c>
      <c r="AJ24" s="103">
        <v>228128</v>
      </c>
      <c r="AK24" s="103">
        <v>116769</v>
      </c>
      <c r="AL24" s="103">
        <v>344897</v>
      </c>
      <c r="AM24" s="103">
        <v>119446</v>
      </c>
      <c r="AN24" s="104">
        <v>464343</v>
      </c>
      <c r="AO24" s="109"/>
      <c r="AP24" s="108">
        <v>57815</v>
      </c>
      <c r="AQ24" s="103">
        <v>111643</v>
      </c>
      <c r="AR24" s="103">
        <v>169458</v>
      </c>
      <c r="AS24" s="103">
        <v>115077</v>
      </c>
      <c r="AT24" s="104">
        <v>284535</v>
      </c>
    </row>
    <row r="25" spans="1:46" s="100" customFormat="1" x14ac:dyDescent="0.25">
      <c r="A25" s="88" t="s">
        <v>12</v>
      </c>
      <c r="B25" s="108">
        <v>31949</v>
      </c>
      <c r="C25" s="103">
        <v>35988</v>
      </c>
      <c r="D25" s="103">
        <v>67937</v>
      </c>
      <c r="E25" s="103">
        <v>41728</v>
      </c>
      <c r="F25" s="103">
        <v>109665</v>
      </c>
      <c r="G25" s="103">
        <v>7278</v>
      </c>
      <c r="H25" s="104">
        <v>116943</v>
      </c>
      <c r="I25" s="109"/>
      <c r="J25" s="108">
        <v>28876</v>
      </c>
      <c r="K25" s="103">
        <v>36179</v>
      </c>
      <c r="L25" s="103">
        <v>65055</v>
      </c>
      <c r="M25" s="103">
        <v>41277</v>
      </c>
      <c r="N25" s="103">
        <v>106332</v>
      </c>
      <c r="O25" s="103">
        <v>41481</v>
      </c>
      <c r="P25" s="104">
        <v>147813</v>
      </c>
      <c r="Q25" s="109"/>
      <c r="R25" s="108">
        <v>24375</v>
      </c>
      <c r="S25" s="103">
        <v>26385</v>
      </c>
      <c r="T25" s="103">
        <v>50760</v>
      </c>
      <c r="U25" s="103">
        <v>29652</v>
      </c>
      <c r="V25" s="103">
        <v>80412</v>
      </c>
      <c r="W25" s="103">
        <v>32128</v>
      </c>
      <c r="X25" s="104">
        <v>112540</v>
      </c>
      <c r="Y25" s="109"/>
      <c r="Z25" s="108">
        <v>39441</v>
      </c>
      <c r="AA25" s="103">
        <v>46668</v>
      </c>
      <c r="AB25" s="103">
        <v>86109</v>
      </c>
      <c r="AC25" s="103">
        <v>44349</v>
      </c>
      <c r="AD25" s="103">
        <v>130458</v>
      </c>
      <c r="AE25" s="103">
        <v>43356</v>
      </c>
      <c r="AF25" s="104">
        <v>173814</v>
      </c>
      <c r="AG25" s="109"/>
      <c r="AH25" s="108">
        <v>24017</v>
      </c>
      <c r="AI25" s="103">
        <v>26187</v>
      </c>
      <c r="AJ25" s="103">
        <v>50204</v>
      </c>
      <c r="AK25" s="103">
        <v>26625</v>
      </c>
      <c r="AL25" s="103">
        <v>76829</v>
      </c>
      <c r="AM25" s="103">
        <v>28707</v>
      </c>
      <c r="AN25" s="104">
        <v>105536</v>
      </c>
      <c r="AO25" s="109"/>
      <c r="AP25" s="108">
        <v>13074</v>
      </c>
      <c r="AQ25" s="103">
        <v>25350</v>
      </c>
      <c r="AR25" s="103">
        <v>38424</v>
      </c>
      <c r="AS25" s="103">
        <v>29462</v>
      </c>
      <c r="AT25" s="104">
        <v>67886</v>
      </c>
    </row>
    <row r="26" spans="1:46" ht="15" customHeight="1" outlineLevel="1" x14ac:dyDescent="0.25">
      <c r="A26" s="42" t="s">
        <v>13</v>
      </c>
      <c r="B26" s="107">
        <v>30849</v>
      </c>
      <c r="C26" s="105">
        <v>29514</v>
      </c>
      <c r="D26" s="105">
        <v>60363</v>
      </c>
      <c r="E26" s="105">
        <v>30508</v>
      </c>
      <c r="F26" s="105">
        <v>90871</v>
      </c>
      <c r="G26" s="105">
        <v>13036</v>
      </c>
      <c r="H26" s="106">
        <v>103907</v>
      </c>
      <c r="I26" s="110"/>
      <c r="J26" s="107">
        <v>28221</v>
      </c>
      <c r="K26" s="105">
        <v>28688</v>
      </c>
      <c r="L26" s="105">
        <v>56909</v>
      </c>
      <c r="M26" s="105">
        <v>29413</v>
      </c>
      <c r="N26" s="105">
        <v>86322</v>
      </c>
      <c r="O26" s="105">
        <v>31055</v>
      </c>
      <c r="P26" s="106">
        <v>117377</v>
      </c>
      <c r="Q26" s="110"/>
      <c r="R26" s="107">
        <v>31423</v>
      </c>
      <c r="S26" s="105">
        <v>26420</v>
      </c>
      <c r="T26" s="105">
        <v>57843</v>
      </c>
      <c r="U26" s="105">
        <v>27199</v>
      </c>
      <c r="V26" s="105">
        <v>85042</v>
      </c>
      <c r="W26" s="105">
        <v>27586</v>
      </c>
      <c r="X26" s="106">
        <v>112628</v>
      </c>
      <c r="Y26" s="110"/>
      <c r="Z26" s="107">
        <v>36591</v>
      </c>
      <c r="AA26" s="105">
        <v>40802</v>
      </c>
      <c r="AB26" s="105">
        <v>77393</v>
      </c>
      <c r="AC26" s="105">
        <v>37968</v>
      </c>
      <c r="AD26" s="105">
        <v>115361</v>
      </c>
      <c r="AE26" s="105">
        <v>35143</v>
      </c>
      <c r="AF26" s="106">
        <v>150504</v>
      </c>
      <c r="AG26" s="110"/>
      <c r="AH26" s="107">
        <v>20075</v>
      </c>
      <c r="AI26" s="105">
        <v>20693</v>
      </c>
      <c r="AJ26" s="105">
        <v>40768</v>
      </c>
      <c r="AK26" s="105">
        <v>19750</v>
      </c>
      <c r="AL26" s="105">
        <v>60518</v>
      </c>
      <c r="AM26" s="105">
        <v>20298</v>
      </c>
      <c r="AN26" s="106">
        <v>80816</v>
      </c>
      <c r="AO26" s="110"/>
      <c r="AP26" s="107">
        <v>10164</v>
      </c>
      <c r="AQ26" s="105">
        <v>19203</v>
      </c>
      <c r="AR26" s="105">
        <v>29367</v>
      </c>
      <c r="AS26" s="105">
        <v>20083</v>
      </c>
      <c r="AT26" s="106">
        <v>49450</v>
      </c>
    </row>
    <row r="27" spans="1:46" ht="15" customHeight="1" outlineLevel="1" x14ac:dyDescent="0.25">
      <c r="A27" s="42" t="s">
        <v>14</v>
      </c>
      <c r="B27" s="107">
        <v>300</v>
      </c>
      <c r="C27" s="105">
        <v>313</v>
      </c>
      <c r="D27" s="105">
        <v>613</v>
      </c>
      <c r="E27" s="105">
        <v>338</v>
      </c>
      <c r="F27" s="105">
        <v>951</v>
      </c>
      <c r="G27" s="105">
        <v>61</v>
      </c>
      <c r="H27" s="106">
        <v>1012</v>
      </c>
      <c r="I27" s="110"/>
      <c r="J27" s="107">
        <v>261</v>
      </c>
      <c r="K27" s="105">
        <v>22</v>
      </c>
      <c r="L27" s="105">
        <v>283</v>
      </c>
      <c r="M27" s="105">
        <v>9</v>
      </c>
      <c r="N27" s="105">
        <v>292</v>
      </c>
      <c r="O27" s="105">
        <v>12</v>
      </c>
      <c r="P27" s="106">
        <v>304</v>
      </c>
      <c r="Q27" s="110"/>
      <c r="R27" s="107">
        <v>210</v>
      </c>
      <c r="S27" s="105">
        <v>210</v>
      </c>
      <c r="T27" s="105">
        <v>420</v>
      </c>
      <c r="U27" s="105">
        <v>239</v>
      </c>
      <c r="V27" s="105">
        <v>659</v>
      </c>
      <c r="W27" s="105">
        <v>1</v>
      </c>
      <c r="X27" s="106">
        <v>660</v>
      </c>
      <c r="Y27" s="110"/>
      <c r="Z27" s="107">
        <v>404</v>
      </c>
      <c r="AA27" s="105">
        <v>231</v>
      </c>
      <c r="AB27" s="105">
        <v>635</v>
      </c>
      <c r="AC27" s="105">
        <v>314</v>
      </c>
      <c r="AD27" s="105">
        <v>949</v>
      </c>
      <c r="AE27" s="105">
        <v>766</v>
      </c>
      <c r="AF27" s="106">
        <v>1715</v>
      </c>
      <c r="AG27" s="110"/>
      <c r="AH27" s="107">
        <v>241</v>
      </c>
      <c r="AI27" s="105">
        <v>267</v>
      </c>
      <c r="AJ27" s="105">
        <v>508</v>
      </c>
      <c r="AK27" s="105">
        <v>269</v>
      </c>
      <c r="AL27" s="105">
        <v>777</v>
      </c>
      <c r="AM27" s="105">
        <v>278</v>
      </c>
      <c r="AN27" s="106">
        <v>1055</v>
      </c>
      <c r="AO27" s="110"/>
      <c r="AP27" s="107">
        <v>135</v>
      </c>
      <c r="AQ27" s="105">
        <v>261</v>
      </c>
      <c r="AR27" s="105">
        <v>396</v>
      </c>
      <c r="AS27" s="105">
        <v>278</v>
      </c>
      <c r="AT27" s="106">
        <v>674</v>
      </c>
    </row>
    <row r="28" spans="1:46" ht="17.25" customHeight="1" outlineLevel="1" x14ac:dyDescent="0.25">
      <c r="A28" s="42" t="s">
        <v>15</v>
      </c>
      <c r="B28" s="107">
        <v>1136</v>
      </c>
      <c r="C28" s="105">
        <v>1124</v>
      </c>
      <c r="D28" s="105">
        <v>2260</v>
      </c>
      <c r="E28" s="105">
        <v>1124</v>
      </c>
      <c r="F28" s="105">
        <v>3384</v>
      </c>
      <c r="G28" s="105">
        <v>206</v>
      </c>
      <c r="H28" s="106">
        <v>3590</v>
      </c>
      <c r="I28" s="110"/>
      <c r="J28" s="107">
        <v>1226</v>
      </c>
      <c r="K28" s="105">
        <v>1226</v>
      </c>
      <c r="L28" s="105">
        <v>2452</v>
      </c>
      <c r="M28" s="105">
        <v>1226</v>
      </c>
      <c r="N28" s="105">
        <v>3678</v>
      </c>
      <c r="O28" s="105">
        <v>1226</v>
      </c>
      <c r="P28" s="106">
        <v>4904</v>
      </c>
      <c r="Q28" s="110"/>
      <c r="R28" s="107">
        <v>1213</v>
      </c>
      <c r="S28" s="105">
        <v>1214</v>
      </c>
      <c r="T28" s="105">
        <v>2427</v>
      </c>
      <c r="U28" s="105">
        <v>1213</v>
      </c>
      <c r="V28" s="105">
        <v>3640</v>
      </c>
      <c r="W28" s="105">
        <v>1214</v>
      </c>
      <c r="X28" s="106">
        <v>4854</v>
      </c>
      <c r="Y28" s="110"/>
      <c r="Z28" s="107">
        <v>1037</v>
      </c>
      <c r="AA28" s="105">
        <v>1289</v>
      </c>
      <c r="AB28" s="105">
        <v>2326</v>
      </c>
      <c r="AC28" s="105">
        <v>1288</v>
      </c>
      <c r="AD28" s="105">
        <v>3614</v>
      </c>
      <c r="AE28" s="105">
        <v>1214</v>
      </c>
      <c r="AF28" s="106">
        <v>4828</v>
      </c>
      <c r="AG28" s="110"/>
      <c r="AH28" s="107">
        <v>282</v>
      </c>
      <c r="AI28" s="105">
        <v>281</v>
      </c>
      <c r="AJ28" s="105">
        <v>563</v>
      </c>
      <c r="AK28" s="105">
        <v>279</v>
      </c>
      <c r="AL28" s="105">
        <v>842</v>
      </c>
      <c r="AM28" s="105">
        <v>281</v>
      </c>
      <c r="AN28" s="106">
        <v>1123</v>
      </c>
      <c r="AO28" s="110"/>
      <c r="AP28" s="107">
        <v>139</v>
      </c>
      <c r="AQ28" s="105">
        <v>270</v>
      </c>
      <c r="AR28" s="105">
        <v>409</v>
      </c>
      <c r="AS28" s="105">
        <v>274</v>
      </c>
      <c r="AT28" s="106">
        <v>683</v>
      </c>
    </row>
    <row r="29" spans="1:46" s="158" customFormat="1" ht="15" customHeight="1" outlineLevel="1" x14ac:dyDescent="0.25">
      <c r="A29" s="42" t="s">
        <v>16</v>
      </c>
      <c r="B29" s="154">
        <v>0</v>
      </c>
      <c r="C29" s="155">
        <v>0</v>
      </c>
      <c r="D29" s="155">
        <v>0</v>
      </c>
      <c r="E29" s="155">
        <v>0</v>
      </c>
      <c r="F29" s="155">
        <v>0</v>
      </c>
      <c r="G29" s="155">
        <v>0</v>
      </c>
      <c r="H29" s="156">
        <v>0</v>
      </c>
      <c r="I29" s="157"/>
      <c r="J29" s="154">
        <v>0</v>
      </c>
      <c r="K29" s="155">
        <v>0</v>
      </c>
      <c r="L29" s="155">
        <v>0</v>
      </c>
      <c r="M29" s="155">
        <v>0</v>
      </c>
      <c r="N29" s="155">
        <v>0</v>
      </c>
      <c r="O29" s="155">
        <v>0</v>
      </c>
      <c r="P29" s="156">
        <v>0</v>
      </c>
      <c r="Q29" s="157"/>
      <c r="R29" s="154">
        <v>50000</v>
      </c>
      <c r="S29" s="155">
        <v>0</v>
      </c>
      <c r="T29" s="155">
        <v>50000</v>
      </c>
      <c r="U29" s="155">
        <v>0</v>
      </c>
      <c r="V29" s="155">
        <v>50000</v>
      </c>
      <c r="W29" s="155">
        <v>0</v>
      </c>
      <c r="X29" s="156">
        <v>50000</v>
      </c>
      <c r="Y29" s="157"/>
      <c r="Z29" s="154">
        <v>0</v>
      </c>
      <c r="AA29" s="155">
        <v>0</v>
      </c>
      <c r="AB29" s="155">
        <v>0</v>
      </c>
      <c r="AC29" s="155">
        <v>0</v>
      </c>
      <c r="AD29" s="155">
        <v>0</v>
      </c>
      <c r="AE29" s="155">
        <v>0</v>
      </c>
      <c r="AF29" s="156">
        <v>0</v>
      </c>
      <c r="AG29" s="157"/>
      <c r="AH29" s="154">
        <v>0</v>
      </c>
      <c r="AI29" s="155">
        <v>0</v>
      </c>
      <c r="AJ29" s="155">
        <v>0</v>
      </c>
      <c r="AK29" s="155">
        <v>0</v>
      </c>
      <c r="AL29" s="155">
        <v>0</v>
      </c>
      <c r="AM29" s="155">
        <v>0</v>
      </c>
      <c r="AN29" s="156">
        <v>0</v>
      </c>
      <c r="AO29" s="157"/>
      <c r="AP29" s="154">
        <v>0</v>
      </c>
      <c r="AQ29" s="155">
        <v>0</v>
      </c>
      <c r="AR29" s="155">
        <v>0</v>
      </c>
      <c r="AS29" s="155">
        <v>0</v>
      </c>
      <c r="AT29" s="156">
        <v>0</v>
      </c>
    </row>
    <row r="30" spans="1:46" s="100" customFormat="1" x14ac:dyDescent="0.25">
      <c r="A30" s="88" t="s">
        <v>17</v>
      </c>
      <c r="B30" s="108">
        <v>-336</v>
      </c>
      <c r="C30" s="103">
        <v>5037</v>
      </c>
      <c r="D30" s="103">
        <v>4701</v>
      </c>
      <c r="E30" s="103">
        <v>9758</v>
      </c>
      <c r="F30" s="103">
        <v>14459</v>
      </c>
      <c r="G30" s="103">
        <v>-6025</v>
      </c>
      <c r="H30" s="104">
        <v>8434</v>
      </c>
      <c r="I30" s="109"/>
      <c r="J30" s="108">
        <v>-832</v>
      </c>
      <c r="K30" s="103">
        <v>6243</v>
      </c>
      <c r="L30" s="103">
        <v>5411</v>
      </c>
      <c r="M30" s="103">
        <v>10629</v>
      </c>
      <c r="N30" s="103">
        <v>16040</v>
      </c>
      <c r="O30" s="103">
        <v>9188</v>
      </c>
      <c r="P30" s="104">
        <v>25228</v>
      </c>
      <c r="Q30" s="109"/>
      <c r="R30" s="108">
        <v>-58471</v>
      </c>
      <c r="S30" s="103">
        <v>-1459</v>
      </c>
      <c r="T30" s="103">
        <v>-59930</v>
      </c>
      <c r="U30" s="103">
        <v>1001</v>
      </c>
      <c r="V30" s="103">
        <v>-58929</v>
      </c>
      <c r="W30" s="103">
        <v>3327</v>
      </c>
      <c r="X30" s="104">
        <v>-55602</v>
      </c>
      <c r="Y30" s="109"/>
      <c r="Z30" s="108">
        <v>1409</v>
      </c>
      <c r="AA30" s="103">
        <v>4346</v>
      </c>
      <c r="AB30" s="103">
        <v>5755</v>
      </c>
      <c r="AC30" s="103">
        <v>4779</v>
      </c>
      <c r="AD30" s="103">
        <v>10534</v>
      </c>
      <c r="AE30" s="103">
        <v>6233</v>
      </c>
      <c r="AF30" s="104">
        <v>16767</v>
      </c>
      <c r="AG30" s="109"/>
      <c r="AH30" s="108">
        <v>3419</v>
      </c>
      <c r="AI30" s="103">
        <v>4946</v>
      </c>
      <c r="AJ30" s="103">
        <v>8365</v>
      </c>
      <c r="AK30" s="103">
        <v>6327</v>
      </c>
      <c r="AL30" s="103">
        <v>14692</v>
      </c>
      <c r="AM30" s="103">
        <v>7850</v>
      </c>
      <c r="AN30" s="104">
        <v>22542</v>
      </c>
      <c r="AO30" s="109"/>
      <c r="AP30" s="108">
        <v>2636</v>
      </c>
      <c r="AQ30" s="103">
        <v>5616</v>
      </c>
      <c r="AR30" s="103">
        <v>8252</v>
      </c>
      <c r="AS30" s="103">
        <v>8827</v>
      </c>
      <c r="AT30" s="104">
        <v>17079</v>
      </c>
    </row>
    <row r="31" spans="1:46" ht="15" customHeight="1" outlineLevel="1" x14ac:dyDescent="0.25">
      <c r="A31" s="42" t="s">
        <v>18</v>
      </c>
      <c r="B31" s="107">
        <v>-152</v>
      </c>
      <c r="C31" s="105">
        <v>-109</v>
      </c>
      <c r="D31" s="105">
        <v>-261</v>
      </c>
      <c r="E31" s="105">
        <v>-165</v>
      </c>
      <c r="F31" s="105">
        <v>-426</v>
      </c>
      <c r="G31" s="105">
        <v>558</v>
      </c>
      <c r="H31" s="106">
        <v>132</v>
      </c>
      <c r="I31" s="110"/>
      <c r="J31" s="107">
        <v>-54</v>
      </c>
      <c r="K31" s="105">
        <v>-94</v>
      </c>
      <c r="L31" s="105">
        <v>-148</v>
      </c>
      <c r="M31" s="105">
        <v>-132</v>
      </c>
      <c r="N31" s="105">
        <v>-280</v>
      </c>
      <c r="O31" s="105">
        <v>-147</v>
      </c>
      <c r="P31" s="106">
        <v>-427</v>
      </c>
      <c r="Q31" s="110"/>
      <c r="R31" s="107">
        <v>154</v>
      </c>
      <c r="S31" s="105">
        <v>1448</v>
      </c>
      <c r="T31" s="105">
        <v>1602</v>
      </c>
      <c r="U31" s="105">
        <v>-43</v>
      </c>
      <c r="V31" s="105">
        <v>1559</v>
      </c>
      <c r="W31" s="105">
        <v>-686</v>
      </c>
      <c r="X31" s="106">
        <v>873</v>
      </c>
      <c r="Y31" s="110"/>
      <c r="Z31" s="107">
        <v>-199</v>
      </c>
      <c r="AA31" s="105">
        <v>60</v>
      </c>
      <c r="AB31" s="105">
        <v>-139</v>
      </c>
      <c r="AC31" s="105">
        <v>32</v>
      </c>
      <c r="AD31" s="105">
        <v>-107</v>
      </c>
      <c r="AE31" s="105">
        <v>-333</v>
      </c>
      <c r="AF31" s="106">
        <v>-440</v>
      </c>
      <c r="AG31" s="110"/>
      <c r="AH31" s="107">
        <v>-37</v>
      </c>
      <c r="AI31" s="105">
        <v>-45</v>
      </c>
      <c r="AJ31" s="105">
        <v>-82</v>
      </c>
      <c r="AK31" s="105">
        <v>87</v>
      </c>
      <c r="AL31" s="105">
        <v>5</v>
      </c>
      <c r="AM31" s="105">
        <v>28</v>
      </c>
      <c r="AN31" s="106">
        <v>33</v>
      </c>
      <c r="AO31" s="110"/>
      <c r="AP31" s="107">
        <v>-167</v>
      </c>
      <c r="AQ31" s="105">
        <v>-33</v>
      </c>
      <c r="AR31" s="105">
        <v>-200</v>
      </c>
      <c r="AS31" s="105">
        <v>-30</v>
      </c>
      <c r="AT31" s="106">
        <v>-230</v>
      </c>
    </row>
    <row r="32" spans="1:46" ht="15" customHeight="1" outlineLevel="1" x14ac:dyDescent="0.25">
      <c r="A32" s="42" t="s">
        <v>19</v>
      </c>
      <c r="B32" s="107">
        <v>458</v>
      </c>
      <c r="C32" s="105">
        <v>472</v>
      </c>
      <c r="D32" s="105">
        <v>930</v>
      </c>
      <c r="E32" s="105">
        <v>476</v>
      </c>
      <c r="F32" s="105">
        <v>1406</v>
      </c>
      <c r="G32" s="105">
        <v>79</v>
      </c>
      <c r="H32" s="106">
        <v>1485</v>
      </c>
      <c r="I32" s="110"/>
      <c r="J32" s="107">
        <v>460</v>
      </c>
      <c r="K32" s="105">
        <v>464</v>
      </c>
      <c r="L32" s="105">
        <v>924</v>
      </c>
      <c r="M32" s="105">
        <v>462</v>
      </c>
      <c r="N32" s="105">
        <v>1386</v>
      </c>
      <c r="O32" s="105">
        <v>464</v>
      </c>
      <c r="P32" s="106">
        <v>1850</v>
      </c>
      <c r="Q32" s="110"/>
      <c r="R32" s="107">
        <v>516</v>
      </c>
      <c r="S32" s="105">
        <v>456</v>
      </c>
      <c r="T32" s="105">
        <v>972</v>
      </c>
      <c r="U32" s="105">
        <v>419</v>
      </c>
      <c r="V32" s="105">
        <v>1391</v>
      </c>
      <c r="W32" s="105">
        <v>455</v>
      </c>
      <c r="X32" s="106">
        <v>1846</v>
      </c>
      <c r="Y32" s="110"/>
      <c r="Z32" s="107">
        <v>348</v>
      </c>
      <c r="AA32" s="105">
        <v>437</v>
      </c>
      <c r="AB32" s="105">
        <v>785</v>
      </c>
      <c r="AC32" s="105">
        <v>433</v>
      </c>
      <c r="AD32" s="105">
        <v>1218</v>
      </c>
      <c r="AE32" s="105">
        <v>475</v>
      </c>
      <c r="AF32" s="106">
        <v>1693</v>
      </c>
      <c r="AG32" s="110"/>
      <c r="AH32" s="107">
        <v>156</v>
      </c>
      <c r="AI32" s="105">
        <v>143</v>
      </c>
      <c r="AJ32" s="105">
        <v>299</v>
      </c>
      <c r="AK32" s="105">
        <v>177</v>
      </c>
      <c r="AL32" s="105">
        <v>476</v>
      </c>
      <c r="AM32" s="105">
        <v>361</v>
      </c>
      <c r="AN32" s="106">
        <v>837</v>
      </c>
      <c r="AO32" s="110"/>
      <c r="AP32" s="107">
        <v>-29</v>
      </c>
      <c r="AQ32" s="105">
        <v>-43</v>
      </c>
      <c r="AR32" s="105">
        <v>-72</v>
      </c>
      <c r="AS32" s="105">
        <v>-32</v>
      </c>
      <c r="AT32" s="106">
        <v>-104</v>
      </c>
    </row>
    <row r="33" spans="1:46" ht="15" customHeight="1" outlineLevel="1" x14ac:dyDescent="0.25">
      <c r="A33" s="42" t="s">
        <v>20</v>
      </c>
      <c r="B33" s="107">
        <v>764</v>
      </c>
      <c r="C33" s="105">
        <v>602</v>
      </c>
      <c r="D33" s="105">
        <v>1366</v>
      </c>
      <c r="E33" s="105">
        <v>543</v>
      </c>
      <c r="F33" s="105">
        <v>1909</v>
      </c>
      <c r="G33" s="105">
        <v>122</v>
      </c>
      <c r="H33" s="106">
        <v>2031</v>
      </c>
      <c r="I33" s="110"/>
      <c r="J33" s="107">
        <v>1207</v>
      </c>
      <c r="K33" s="105">
        <v>1269</v>
      </c>
      <c r="L33" s="105">
        <v>2476</v>
      </c>
      <c r="M33" s="105">
        <v>1220</v>
      </c>
      <c r="N33" s="105">
        <v>3696</v>
      </c>
      <c r="O33" s="105">
        <v>1057</v>
      </c>
      <c r="P33" s="106">
        <v>4753</v>
      </c>
      <c r="Q33" s="110"/>
      <c r="R33" s="107">
        <v>1464</v>
      </c>
      <c r="S33" s="105">
        <v>1619</v>
      </c>
      <c r="T33" s="105">
        <v>3083</v>
      </c>
      <c r="U33" s="105">
        <v>1105</v>
      </c>
      <c r="V33" s="105">
        <v>4188</v>
      </c>
      <c r="W33" s="105">
        <v>1172</v>
      </c>
      <c r="X33" s="106">
        <v>5360</v>
      </c>
      <c r="Y33" s="110"/>
      <c r="Z33" s="107">
        <v>2244</v>
      </c>
      <c r="AA33" s="105">
        <v>2311</v>
      </c>
      <c r="AB33" s="105">
        <v>4555</v>
      </c>
      <c r="AC33" s="105">
        <v>2317</v>
      </c>
      <c r="AD33" s="105">
        <v>6872</v>
      </c>
      <c r="AE33" s="105">
        <v>2251</v>
      </c>
      <c r="AF33" s="106">
        <v>9123</v>
      </c>
      <c r="AG33" s="110"/>
      <c r="AH33" s="107">
        <v>1546</v>
      </c>
      <c r="AI33" s="105">
        <v>1509</v>
      </c>
      <c r="AJ33" s="105">
        <v>3055</v>
      </c>
      <c r="AK33" s="105">
        <v>1275</v>
      </c>
      <c r="AL33" s="105">
        <v>4330</v>
      </c>
      <c r="AM33" s="105">
        <v>1347</v>
      </c>
      <c r="AN33" s="106">
        <v>5677</v>
      </c>
      <c r="AO33" s="110"/>
      <c r="AP33" s="107">
        <v>971</v>
      </c>
      <c r="AQ33" s="105">
        <v>1798</v>
      </c>
      <c r="AR33" s="105">
        <v>2769</v>
      </c>
      <c r="AS33" s="105">
        <v>1811</v>
      </c>
      <c r="AT33" s="106">
        <v>4580</v>
      </c>
    </row>
    <row r="34" spans="1:46" ht="17.25" customHeight="1" outlineLevel="1" x14ac:dyDescent="0.4">
      <c r="A34" s="42" t="s">
        <v>21</v>
      </c>
      <c r="B34" s="111">
        <v>-197</v>
      </c>
      <c r="C34" s="112">
        <v>819</v>
      </c>
      <c r="D34" s="112">
        <v>622</v>
      </c>
      <c r="E34" s="112">
        <v>1183</v>
      </c>
      <c r="F34" s="112">
        <v>1805</v>
      </c>
      <c r="G34" s="112">
        <v>-6651</v>
      </c>
      <c r="H34" s="113">
        <v>-4846</v>
      </c>
      <c r="I34" s="110"/>
      <c r="J34" s="111">
        <v>-3790</v>
      </c>
      <c r="K34" s="112">
        <v>4153</v>
      </c>
      <c r="L34" s="112">
        <v>363</v>
      </c>
      <c r="M34" s="112">
        <v>1632</v>
      </c>
      <c r="N34" s="112">
        <v>1995</v>
      </c>
      <c r="O34" s="112">
        <v>1628</v>
      </c>
      <c r="P34" s="113">
        <v>3623</v>
      </c>
      <c r="Q34" s="110"/>
      <c r="R34" s="111">
        <v>-23078</v>
      </c>
      <c r="S34" s="112">
        <v>-2109</v>
      </c>
      <c r="T34" s="112">
        <v>-25187</v>
      </c>
      <c r="U34" s="112">
        <v>-429</v>
      </c>
      <c r="V34" s="112">
        <v>-25616</v>
      </c>
      <c r="W34" s="112">
        <v>171</v>
      </c>
      <c r="X34" s="113">
        <v>-25445</v>
      </c>
      <c r="Y34" s="110"/>
      <c r="Z34" s="111">
        <v>-360</v>
      </c>
      <c r="AA34" s="112">
        <v>-121</v>
      </c>
      <c r="AB34" s="112">
        <v>-481</v>
      </c>
      <c r="AC34" s="112">
        <v>432</v>
      </c>
      <c r="AD34" s="112">
        <v>-49</v>
      </c>
      <c r="AE34" s="112">
        <v>1273</v>
      </c>
      <c r="AF34" s="113">
        <v>1224</v>
      </c>
      <c r="AG34" s="110"/>
      <c r="AH34" s="111">
        <v>599</v>
      </c>
      <c r="AI34" s="112">
        <v>1281</v>
      </c>
      <c r="AJ34" s="112">
        <v>1880</v>
      </c>
      <c r="AK34" s="112">
        <v>1537</v>
      </c>
      <c r="AL34" s="112">
        <v>3417</v>
      </c>
      <c r="AM34" s="112">
        <v>2128</v>
      </c>
      <c r="AN34" s="113">
        <v>5545</v>
      </c>
      <c r="AO34" s="110"/>
      <c r="AP34" s="111">
        <v>414</v>
      </c>
      <c r="AQ34" s="112">
        <v>1406</v>
      </c>
      <c r="AR34" s="112">
        <v>1820</v>
      </c>
      <c r="AS34" s="112">
        <v>2734</v>
      </c>
      <c r="AT34" s="113">
        <v>4554</v>
      </c>
    </row>
    <row r="35" spans="1:46" s="100" customFormat="1" x14ac:dyDescent="0.25">
      <c r="A35" s="88" t="s">
        <v>24</v>
      </c>
      <c r="B35" s="108">
        <v>-1209</v>
      </c>
      <c r="C35" s="103">
        <v>3253</v>
      </c>
      <c r="D35" s="103">
        <v>2044</v>
      </c>
      <c r="E35" s="103">
        <v>7721</v>
      </c>
      <c r="F35" s="103">
        <v>9765</v>
      </c>
      <c r="G35" s="103">
        <v>-133</v>
      </c>
      <c r="H35" s="104">
        <v>9632</v>
      </c>
      <c r="I35" s="109"/>
      <c r="J35" s="108">
        <v>1345</v>
      </c>
      <c r="K35" s="103">
        <v>451</v>
      </c>
      <c r="L35" s="103">
        <v>1796</v>
      </c>
      <c r="M35" s="103">
        <v>7447</v>
      </c>
      <c r="N35" s="103">
        <v>9243</v>
      </c>
      <c r="O35" s="103">
        <v>6186</v>
      </c>
      <c r="P35" s="104">
        <v>15429</v>
      </c>
      <c r="Q35" s="109"/>
      <c r="R35" s="108">
        <v>-37527</v>
      </c>
      <c r="S35" s="103">
        <v>-2873</v>
      </c>
      <c r="T35" s="103">
        <v>-40400</v>
      </c>
      <c r="U35" s="103">
        <v>-51</v>
      </c>
      <c r="V35" s="103">
        <v>-40451</v>
      </c>
      <c r="W35" s="103">
        <v>2215</v>
      </c>
      <c r="X35" s="104">
        <v>-38236</v>
      </c>
      <c r="Y35" s="109"/>
      <c r="Z35" s="108">
        <v>-624</v>
      </c>
      <c r="AA35" s="103">
        <v>1659</v>
      </c>
      <c r="AB35" s="103">
        <v>1035</v>
      </c>
      <c r="AC35" s="103">
        <v>1565</v>
      </c>
      <c r="AD35" s="103">
        <v>2600</v>
      </c>
      <c r="AE35" s="103">
        <v>2567</v>
      </c>
      <c r="AF35" s="104">
        <v>5167</v>
      </c>
      <c r="AG35" s="109"/>
      <c r="AH35" s="108">
        <v>1155</v>
      </c>
      <c r="AI35" s="103">
        <v>2058</v>
      </c>
      <c r="AJ35" s="103">
        <v>3213</v>
      </c>
      <c r="AK35" s="103">
        <v>3251</v>
      </c>
      <c r="AL35" s="103">
        <v>6464</v>
      </c>
      <c r="AM35" s="103">
        <v>3986</v>
      </c>
      <c r="AN35" s="104">
        <v>10450</v>
      </c>
      <c r="AO35" s="109"/>
      <c r="AP35" s="108">
        <v>1447</v>
      </c>
      <c r="AQ35" s="103">
        <v>2488</v>
      </c>
      <c r="AR35" s="103">
        <v>3935</v>
      </c>
      <c r="AS35" s="103">
        <v>4344</v>
      </c>
      <c r="AT35" s="104">
        <v>8279</v>
      </c>
    </row>
    <row r="36" spans="1:46" ht="15" customHeight="1" outlineLevel="1" x14ac:dyDescent="0.25">
      <c r="A36" s="114" t="s">
        <v>54</v>
      </c>
      <c r="B36" s="107"/>
      <c r="C36" s="116"/>
      <c r="D36" s="116"/>
      <c r="E36" s="116"/>
      <c r="F36" s="105"/>
      <c r="G36" s="116"/>
      <c r="H36" s="117"/>
      <c r="I36" s="110"/>
      <c r="J36" s="107"/>
      <c r="K36" s="116"/>
      <c r="L36" s="116"/>
      <c r="M36" s="116"/>
      <c r="N36" s="105"/>
      <c r="O36" s="116"/>
      <c r="P36" s="117"/>
      <c r="Q36" s="110"/>
      <c r="R36" s="107"/>
      <c r="S36" s="116"/>
      <c r="T36" s="116"/>
      <c r="U36" s="116"/>
      <c r="V36" s="105"/>
      <c r="W36" s="116"/>
      <c r="X36" s="117"/>
      <c r="Y36" s="110"/>
      <c r="Z36" s="107"/>
      <c r="AA36" s="116"/>
      <c r="AB36" s="116"/>
      <c r="AC36" s="116"/>
      <c r="AD36" s="105"/>
      <c r="AE36" s="116"/>
      <c r="AF36" s="117"/>
      <c r="AG36" s="110"/>
      <c r="AH36" s="107"/>
      <c r="AI36" s="116"/>
      <c r="AJ36" s="116"/>
      <c r="AK36" s="116"/>
      <c r="AL36" s="105"/>
      <c r="AM36" s="116"/>
      <c r="AN36" s="117"/>
      <c r="AO36" s="110"/>
      <c r="AP36" s="170"/>
      <c r="AQ36" s="116"/>
      <c r="AR36" s="105"/>
      <c r="AS36" s="116"/>
      <c r="AT36" s="117"/>
    </row>
    <row r="37" spans="1:46" ht="15" customHeight="1" outlineLevel="1" x14ac:dyDescent="0.25">
      <c r="A37" s="42" t="s">
        <v>21</v>
      </c>
      <c r="B37" s="107">
        <v>-197</v>
      </c>
      <c r="C37" s="105">
        <v>819</v>
      </c>
      <c r="D37" s="105">
        <v>622</v>
      </c>
      <c r="E37" s="105">
        <v>1183</v>
      </c>
      <c r="F37" s="105">
        <v>1805</v>
      </c>
      <c r="G37" s="105">
        <v>-6651</v>
      </c>
      <c r="H37" s="106">
        <v>0</v>
      </c>
      <c r="I37" s="110"/>
      <c r="J37" s="107">
        <v>-3790</v>
      </c>
      <c r="K37" s="105">
        <v>4153</v>
      </c>
      <c r="L37" s="105">
        <v>363</v>
      </c>
      <c r="M37" s="105">
        <v>1632</v>
      </c>
      <c r="N37" s="105">
        <v>1995</v>
      </c>
      <c r="O37" s="105">
        <v>1628</v>
      </c>
      <c r="P37" s="106">
        <v>3623</v>
      </c>
      <c r="Q37" s="110"/>
      <c r="R37" s="107">
        <v>-23078</v>
      </c>
      <c r="S37" s="105">
        <v>-2109</v>
      </c>
      <c r="T37" s="105">
        <v>-25187</v>
      </c>
      <c r="U37" s="105">
        <v>-429</v>
      </c>
      <c r="V37" s="105">
        <v>-25616</v>
      </c>
      <c r="W37" s="105">
        <v>171</v>
      </c>
      <c r="X37" s="106">
        <v>-25445</v>
      </c>
      <c r="Y37" s="110"/>
      <c r="Z37" s="107">
        <v>-360</v>
      </c>
      <c r="AA37" s="105">
        <v>-121</v>
      </c>
      <c r="AB37" s="105">
        <v>-481</v>
      </c>
      <c r="AC37" s="105">
        <v>432</v>
      </c>
      <c r="AD37" s="105">
        <v>-49</v>
      </c>
      <c r="AE37" s="105">
        <v>1273</v>
      </c>
      <c r="AF37" s="106">
        <v>1224</v>
      </c>
      <c r="AG37" s="110"/>
      <c r="AH37" s="107">
        <v>599</v>
      </c>
      <c r="AI37" s="105">
        <v>1281</v>
      </c>
      <c r="AJ37" s="105">
        <v>1880</v>
      </c>
      <c r="AK37" s="105">
        <v>1537</v>
      </c>
      <c r="AL37" s="105">
        <v>3417</v>
      </c>
      <c r="AM37" s="105">
        <v>2128</v>
      </c>
      <c r="AN37" s="106">
        <v>5545</v>
      </c>
      <c r="AO37" s="110"/>
      <c r="AP37" s="107">
        <v>414</v>
      </c>
      <c r="AQ37" s="105">
        <v>1406</v>
      </c>
      <c r="AR37" s="105">
        <v>1820</v>
      </c>
      <c r="AS37" s="105">
        <v>2734</v>
      </c>
      <c r="AT37" s="106">
        <v>4554</v>
      </c>
    </row>
    <row r="38" spans="1:46" ht="15" customHeight="1" outlineLevel="1" x14ac:dyDescent="0.25">
      <c r="A38" s="42" t="s">
        <v>19</v>
      </c>
      <c r="B38" s="107">
        <v>458</v>
      </c>
      <c r="C38" s="105">
        <v>472</v>
      </c>
      <c r="D38" s="105">
        <v>930</v>
      </c>
      <c r="E38" s="105">
        <v>475</v>
      </c>
      <c r="F38" s="105">
        <v>1405</v>
      </c>
      <c r="G38" s="105">
        <v>80</v>
      </c>
      <c r="H38" s="106">
        <v>0</v>
      </c>
      <c r="I38" s="110"/>
      <c r="J38" s="107">
        <v>460</v>
      </c>
      <c r="K38" s="105">
        <v>464</v>
      </c>
      <c r="L38" s="105">
        <v>924</v>
      </c>
      <c r="M38" s="105">
        <v>462</v>
      </c>
      <c r="N38" s="105">
        <v>1386</v>
      </c>
      <c r="O38" s="105">
        <v>464</v>
      </c>
      <c r="P38" s="106">
        <v>1850</v>
      </c>
      <c r="Q38" s="110"/>
      <c r="R38" s="107">
        <v>516</v>
      </c>
      <c r="S38" s="105">
        <v>456</v>
      </c>
      <c r="T38" s="105">
        <v>972</v>
      </c>
      <c r="U38" s="105">
        <v>419</v>
      </c>
      <c r="V38" s="105">
        <v>1391</v>
      </c>
      <c r="W38" s="105">
        <v>455</v>
      </c>
      <c r="X38" s="106">
        <v>1846</v>
      </c>
      <c r="Y38" s="110"/>
      <c r="Z38" s="107">
        <v>348</v>
      </c>
      <c r="AA38" s="105">
        <v>437</v>
      </c>
      <c r="AB38" s="105">
        <v>785</v>
      </c>
      <c r="AC38" s="105">
        <v>433</v>
      </c>
      <c r="AD38" s="105">
        <v>1218</v>
      </c>
      <c r="AE38" s="105">
        <v>475</v>
      </c>
      <c r="AF38" s="106">
        <v>1693</v>
      </c>
      <c r="AG38" s="110"/>
      <c r="AH38" s="107">
        <v>156</v>
      </c>
      <c r="AI38" s="105">
        <v>143</v>
      </c>
      <c r="AJ38" s="105">
        <v>299</v>
      </c>
      <c r="AK38" s="105">
        <v>177</v>
      </c>
      <c r="AL38" s="105">
        <v>476</v>
      </c>
      <c r="AM38" s="105">
        <v>361</v>
      </c>
      <c r="AN38" s="106">
        <v>837</v>
      </c>
      <c r="AO38" s="110"/>
      <c r="AP38" s="107">
        <v>-29</v>
      </c>
      <c r="AQ38" s="105">
        <v>-43</v>
      </c>
      <c r="AR38" s="105">
        <v>-72</v>
      </c>
      <c r="AS38" s="105">
        <v>-32</v>
      </c>
      <c r="AT38" s="106">
        <v>-104</v>
      </c>
    </row>
    <row r="39" spans="1:46" ht="15" customHeight="1" outlineLevel="1" x14ac:dyDescent="0.25">
      <c r="A39" s="42" t="s">
        <v>20</v>
      </c>
      <c r="B39" s="107">
        <v>764</v>
      </c>
      <c r="C39" s="105">
        <v>601</v>
      </c>
      <c r="D39" s="105">
        <v>1365</v>
      </c>
      <c r="E39" s="105">
        <v>544</v>
      </c>
      <c r="F39" s="105">
        <v>1909</v>
      </c>
      <c r="G39" s="105">
        <v>122</v>
      </c>
      <c r="H39" s="106">
        <v>0</v>
      </c>
      <c r="I39" s="110"/>
      <c r="J39" s="107">
        <v>1207</v>
      </c>
      <c r="K39" s="105">
        <v>1269</v>
      </c>
      <c r="L39" s="105">
        <v>2476</v>
      </c>
      <c r="M39" s="105">
        <v>1220</v>
      </c>
      <c r="N39" s="105">
        <v>3696</v>
      </c>
      <c r="O39" s="105">
        <v>1057</v>
      </c>
      <c r="P39" s="106">
        <v>4753</v>
      </c>
      <c r="Q39" s="110"/>
      <c r="R39" s="107">
        <v>1464</v>
      </c>
      <c r="S39" s="105">
        <v>1619</v>
      </c>
      <c r="T39" s="105">
        <v>3083</v>
      </c>
      <c r="U39" s="105">
        <v>1105</v>
      </c>
      <c r="V39" s="105">
        <v>4188</v>
      </c>
      <c r="W39" s="105">
        <v>1172</v>
      </c>
      <c r="X39" s="106">
        <v>5360</v>
      </c>
      <c r="Y39" s="110"/>
      <c r="Z39" s="107">
        <v>2244</v>
      </c>
      <c r="AA39" s="105">
        <v>2311</v>
      </c>
      <c r="AB39" s="105">
        <v>4555</v>
      </c>
      <c r="AC39" s="105">
        <v>2317</v>
      </c>
      <c r="AD39" s="105">
        <v>6872</v>
      </c>
      <c r="AE39" s="105">
        <v>2251</v>
      </c>
      <c r="AF39" s="106">
        <v>9123</v>
      </c>
      <c r="AG39" s="110"/>
      <c r="AH39" s="107">
        <v>1546</v>
      </c>
      <c r="AI39" s="105">
        <v>1509</v>
      </c>
      <c r="AJ39" s="105">
        <v>3055</v>
      </c>
      <c r="AK39" s="105">
        <v>1275</v>
      </c>
      <c r="AL39" s="105">
        <v>4330</v>
      </c>
      <c r="AM39" s="105">
        <v>1347</v>
      </c>
      <c r="AN39" s="106">
        <v>5677</v>
      </c>
      <c r="AO39" s="110"/>
      <c r="AP39" s="107">
        <v>971</v>
      </c>
      <c r="AQ39" s="105">
        <v>1798</v>
      </c>
      <c r="AR39" s="105">
        <v>2769</v>
      </c>
      <c r="AS39" s="105">
        <v>1811</v>
      </c>
      <c r="AT39" s="106">
        <v>4580</v>
      </c>
    </row>
    <row r="40" spans="1:46" ht="15" customHeight="1" outlineLevel="1" x14ac:dyDescent="0.25">
      <c r="A40" s="42" t="s">
        <v>55</v>
      </c>
      <c r="B40" s="107">
        <v>1882</v>
      </c>
      <c r="C40" s="116">
        <v>1910</v>
      </c>
      <c r="D40" s="116">
        <v>3792</v>
      </c>
      <c r="E40" s="116">
        <v>1732</v>
      </c>
      <c r="F40" s="105">
        <v>5524</v>
      </c>
      <c r="G40" s="116">
        <v>-5524</v>
      </c>
      <c r="H40" s="117">
        <v>0</v>
      </c>
      <c r="I40" s="110"/>
      <c r="J40" s="107">
        <v>1895</v>
      </c>
      <c r="K40" s="116">
        <v>1871</v>
      </c>
      <c r="L40" s="116">
        <v>3766</v>
      </c>
      <c r="M40" s="116">
        <v>1855</v>
      </c>
      <c r="N40" s="105">
        <v>5621</v>
      </c>
      <c r="O40" s="116">
        <v>1942</v>
      </c>
      <c r="P40" s="117">
        <v>7563</v>
      </c>
      <c r="Q40" s="110"/>
      <c r="R40" s="107">
        <v>2027</v>
      </c>
      <c r="S40" s="116">
        <v>1993</v>
      </c>
      <c r="T40" s="116">
        <v>4020</v>
      </c>
      <c r="U40" s="116">
        <v>1940</v>
      </c>
      <c r="V40" s="105">
        <v>5960</v>
      </c>
      <c r="W40" s="116">
        <v>1920</v>
      </c>
      <c r="X40" s="117">
        <v>7880</v>
      </c>
      <c r="Y40" s="110"/>
      <c r="Z40" s="107">
        <v>1709</v>
      </c>
      <c r="AA40" s="116">
        <v>2169</v>
      </c>
      <c r="AB40" s="116">
        <v>3878</v>
      </c>
      <c r="AC40" s="116">
        <v>2161</v>
      </c>
      <c r="AD40" s="105">
        <v>6039</v>
      </c>
      <c r="AE40" s="116">
        <v>2175</v>
      </c>
      <c r="AF40" s="117">
        <v>8214</v>
      </c>
      <c r="AG40" s="110"/>
      <c r="AH40" s="107">
        <v>592</v>
      </c>
      <c r="AI40" s="116">
        <v>498</v>
      </c>
      <c r="AJ40" s="116">
        <v>1090</v>
      </c>
      <c r="AK40" s="116">
        <v>597</v>
      </c>
      <c r="AL40" s="105">
        <v>1687</v>
      </c>
      <c r="AM40" s="116">
        <v>629</v>
      </c>
      <c r="AN40" s="117">
        <v>2316</v>
      </c>
      <c r="AO40" s="110"/>
      <c r="AP40" s="107">
        <v>295</v>
      </c>
      <c r="AQ40" s="116">
        <v>548</v>
      </c>
      <c r="AR40" s="105">
        <v>843</v>
      </c>
      <c r="AS40" s="116">
        <v>529</v>
      </c>
      <c r="AT40" s="117">
        <v>1372</v>
      </c>
    </row>
    <row r="41" spans="1:46" s="158" customFormat="1" ht="15" customHeight="1" outlineLevel="1" x14ac:dyDescent="0.25">
      <c r="A41" s="42" t="s">
        <v>56</v>
      </c>
      <c r="B41" s="154">
        <v>109</v>
      </c>
      <c r="C41" s="190">
        <v>164</v>
      </c>
      <c r="D41" s="190">
        <v>273</v>
      </c>
      <c r="E41" s="190">
        <v>137</v>
      </c>
      <c r="F41" s="155">
        <v>410</v>
      </c>
      <c r="G41" s="190">
        <v>558</v>
      </c>
      <c r="H41" s="191">
        <v>0</v>
      </c>
      <c r="I41" s="157"/>
      <c r="J41" s="154">
        <v>126</v>
      </c>
      <c r="K41" s="190">
        <v>122</v>
      </c>
      <c r="L41" s="190">
        <v>248</v>
      </c>
      <c r="M41" s="190">
        <v>117</v>
      </c>
      <c r="N41" s="155">
        <v>365</v>
      </c>
      <c r="O41" s="190">
        <v>113</v>
      </c>
      <c r="P41" s="191">
        <v>478</v>
      </c>
      <c r="Q41" s="157"/>
      <c r="R41" s="154">
        <v>70</v>
      </c>
      <c r="S41" s="190">
        <v>627</v>
      </c>
      <c r="T41" s="190">
        <v>697</v>
      </c>
      <c r="U41" s="190">
        <v>68</v>
      </c>
      <c r="V41" s="155">
        <v>765</v>
      </c>
      <c r="W41" s="190">
        <v>-312</v>
      </c>
      <c r="X41" s="191">
        <v>453</v>
      </c>
      <c r="Y41" s="157"/>
      <c r="Z41" s="154">
        <v>63</v>
      </c>
      <c r="AA41" s="190">
        <v>69</v>
      </c>
      <c r="AB41" s="190">
        <v>132</v>
      </c>
      <c r="AC41" s="190">
        <v>69</v>
      </c>
      <c r="AD41" s="155">
        <v>201</v>
      </c>
      <c r="AE41" s="190">
        <v>70</v>
      </c>
      <c r="AF41" s="191">
        <v>271</v>
      </c>
      <c r="AG41" s="157"/>
      <c r="AH41" s="154">
        <v>0</v>
      </c>
      <c r="AI41" s="190">
        <v>0</v>
      </c>
      <c r="AJ41" s="190">
        <v>0</v>
      </c>
      <c r="AK41" s="190">
        <v>0</v>
      </c>
      <c r="AL41" s="155">
        <v>0</v>
      </c>
      <c r="AM41" s="190">
        <v>0</v>
      </c>
      <c r="AN41" s="191">
        <v>0</v>
      </c>
      <c r="AO41" s="157"/>
      <c r="AP41" s="195">
        <v>0</v>
      </c>
      <c r="AQ41" s="190">
        <v>0</v>
      </c>
      <c r="AR41" s="155">
        <v>0</v>
      </c>
      <c r="AS41" s="190">
        <v>0</v>
      </c>
      <c r="AT41" s="191">
        <v>0</v>
      </c>
    </row>
    <row r="42" spans="1:46" s="100" customFormat="1" x14ac:dyDescent="0.25">
      <c r="A42" s="88" t="s">
        <v>57</v>
      </c>
      <c r="B42" s="108">
        <v>1807</v>
      </c>
      <c r="C42" s="103">
        <v>7219</v>
      </c>
      <c r="D42" s="103">
        <v>9026</v>
      </c>
      <c r="E42" s="103">
        <v>11792</v>
      </c>
      <c r="F42" s="103">
        <v>20818</v>
      </c>
      <c r="G42" s="103">
        <v>-11548</v>
      </c>
      <c r="H42" s="104">
        <v>0</v>
      </c>
      <c r="I42" s="109"/>
      <c r="J42" s="108">
        <v>1243</v>
      </c>
      <c r="K42" s="103">
        <v>8330</v>
      </c>
      <c r="L42" s="103">
        <v>9573</v>
      </c>
      <c r="M42" s="103">
        <v>12733</v>
      </c>
      <c r="N42" s="103">
        <v>22306</v>
      </c>
      <c r="O42" s="103">
        <v>11390</v>
      </c>
      <c r="P42" s="104">
        <v>33696</v>
      </c>
      <c r="Q42" s="109"/>
      <c r="R42" s="108">
        <v>-56528</v>
      </c>
      <c r="S42" s="103">
        <v>-287</v>
      </c>
      <c r="T42" s="103">
        <v>-56815</v>
      </c>
      <c r="U42" s="103">
        <v>3052</v>
      </c>
      <c r="V42" s="103">
        <v>-53763</v>
      </c>
      <c r="W42" s="103">
        <v>5621</v>
      </c>
      <c r="X42" s="104">
        <v>-48142</v>
      </c>
      <c r="Y42" s="109"/>
      <c r="Z42" s="108">
        <v>3380</v>
      </c>
      <c r="AA42" s="103">
        <v>6524</v>
      </c>
      <c r="AB42" s="103">
        <v>9904</v>
      </c>
      <c r="AC42" s="103">
        <v>6977</v>
      </c>
      <c r="AD42" s="103">
        <v>16881</v>
      </c>
      <c r="AE42" s="103">
        <v>8811</v>
      </c>
      <c r="AF42" s="104">
        <v>25692</v>
      </c>
      <c r="AG42" s="109"/>
      <c r="AH42" s="108">
        <v>4048</v>
      </c>
      <c r="AI42" s="103">
        <v>5489</v>
      </c>
      <c r="AJ42" s="103">
        <v>9537</v>
      </c>
      <c r="AK42" s="103">
        <v>6837</v>
      </c>
      <c r="AL42" s="103">
        <v>16374</v>
      </c>
      <c r="AM42" s="103">
        <v>8451</v>
      </c>
      <c r="AN42" s="104">
        <v>24825</v>
      </c>
      <c r="AO42" s="109"/>
      <c r="AP42" s="108">
        <v>3098</v>
      </c>
      <c r="AQ42" s="103">
        <v>6197</v>
      </c>
      <c r="AR42" s="103">
        <v>9295</v>
      </c>
      <c r="AS42" s="103">
        <v>9386</v>
      </c>
      <c r="AT42" s="104">
        <v>18681</v>
      </c>
    </row>
    <row r="43" spans="1:46" ht="15" customHeight="1" outlineLevel="1" x14ac:dyDescent="0.25">
      <c r="A43" s="42" t="s">
        <v>58</v>
      </c>
      <c r="B43" s="107">
        <v>4</v>
      </c>
      <c r="C43" s="116">
        <v>-1</v>
      </c>
      <c r="D43" s="116">
        <v>3</v>
      </c>
      <c r="E43" s="116">
        <v>-1</v>
      </c>
      <c r="F43" s="105">
        <v>2</v>
      </c>
      <c r="G43" s="116">
        <v>-2</v>
      </c>
      <c r="H43" s="117">
        <v>0</v>
      </c>
      <c r="I43" s="110"/>
      <c r="J43" s="107">
        <v>1</v>
      </c>
      <c r="K43" s="116">
        <v>-1</v>
      </c>
      <c r="L43" s="116">
        <v>0</v>
      </c>
      <c r="M43" s="116">
        <v>0</v>
      </c>
      <c r="N43" s="105">
        <v>0</v>
      </c>
      <c r="O43" s="116">
        <v>0</v>
      </c>
      <c r="P43" s="117">
        <v>0</v>
      </c>
      <c r="Q43" s="110"/>
      <c r="R43" s="107">
        <v>0</v>
      </c>
      <c r="S43" s="116">
        <v>0</v>
      </c>
      <c r="T43" s="116">
        <v>0</v>
      </c>
      <c r="U43" s="116">
        <v>0</v>
      </c>
      <c r="V43" s="105">
        <v>0</v>
      </c>
      <c r="W43" s="116">
        <v>0</v>
      </c>
      <c r="X43" s="117">
        <v>0</v>
      </c>
      <c r="Y43" s="110"/>
      <c r="Z43" s="107">
        <v>0</v>
      </c>
      <c r="AA43" s="116">
        <v>18</v>
      </c>
      <c r="AB43" s="116">
        <v>18</v>
      </c>
      <c r="AC43" s="116">
        <v>59</v>
      </c>
      <c r="AD43" s="105">
        <v>77</v>
      </c>
      <c r="AE43" s="116">
        <v>-77</v>
      </c>
      <c r="AF43" s="117">
        <v>0</v>
      </c>
      <c r="AG43" s="110"/>
      <c r="AH43" s="107">
        <v>0</v>
      </c>
      <c r="AI43" s="116">
        <v>0</v>
      </c>
      <c r="AJ43" s="116">
        <v>0</v>
      </c>
      <c r="AK43" s="116">
        <v>0</v>
      </c>
      <c r="AL43" s="105">
        <v>0</v>
      </c>
      <c r="AM43" s="116">
        <v>0</v>
      </c>
      <c r="AN43" s="117">
        <v>0</v>
      </c>
      <c r="AO43" s="110"/>
      <c r="AP43" s="170">
        <v>0</v>
      </c>
      <c r="AQ43" s="116">
        <v>0</v>
      </c>
      <c r="AR43" s="105">
        <v>0</v>
      </c>
      <c r="AS43" s="116">
        <v>0</v>
      </c>
      <c r="AT43" s="117">
        <v>0</v>
      </c>
    </row>
    <row r="44" spans="1:46" ht="15" customHeight="1" outlineLevel="1" x14ac:dyDescent="0.25">
      <c r="A44" s="42" t="s">
        <v>59</v>
      </c>
      <c r="B44" s="107">
        <v>1052</v>
      </c>
      <c r="C44" s="116">
        <v>412</v>
      </c>
      <c r="D44" s="116">
        <v>1464</v>
      </c>
      <c r="E44" s="116">
        <v>395</v>
      </c>
      <c r="F44" s="105">
        <v>1859</v>
      </c>
      <c r="G44" s="116">
        <v>-1859</v>
      </c>
      <c r="H44" s="117">
        <v>0</v>
      </c>
      <c r="I44" s="110"/>
      <c r="J44" s="107">
        <v>0</v>
      </c>
      <c r="K44" s="116">
        <v>0</v>
      </c>
      <c r="L44" s="116">
        <v>0</v>
      </c>
      <c r="M44" s="116">
        <v>0</v>
      </c>
      <c r="N44" s="105">
        <v>0</v>
      </c>
      <c r="O44" s="116">
        <v>0</v>
      </c>
      <c r="P44" s="117">
        <v>0</v>
      </c>
      <c r="Q44" s="110"/>
      <c r="R44" s="107">
        <v>0</v>
      </c>
      <c r="S44" s="116">
        <v>0</v>
      </c>
      <c r="T44" s="116">
        <v>0</v>
      </c>
      <c r="U44" s="116">
        <v>0</v>
      </c>
      <c r="V44" s="105">
        <v>0</v>
      </c>
      <c r="W44" s="116">
        <v>0</v>
      </c>
      <c r="X44" s="117">
        <v>0</v>
      </c>
      <c r="Y44" s="110"/>
      <c r="Z44" s="107">
        <v>0</v>
      </c>
      <c r="AA44" s="116">
        <v>0</v>
      </c>
      <c r="AB44" s="116">
        <v>0</v>
      </c>
      <c r="AC44" s="116">
        <v>0</v>
      </c>
      <c r="AD44" s="105">
        <v>0</v>
      </c>
      <c r="AE44" s="116">
        <v>0</v>
      </c>
      <c r="AF44" s="117">
        <v>0</v>
      </c>
      <c r="AG44" s="110"/>
      <c r="AH44" s="107">
        <v>0</v>
      </c>
      <c r="AI44" s="116">
        <v>0</v>
      </c>
      <c r="AJ44" s="116">
        <v>0</v>
      </c>
      <c r="AK44" s="116">
        <v>0</v>
      </c>
      <c r="AL44" s="105">
        <v>0</v>
      </c>
      <c r="AM44" s="116">
        <v>0</v>
      </c>
      <c r="AN44" s="117">
        <v>0</v>
      </c>
      <c r="AO44" s="110"/>
      <c r="AP44" s="170">
        <v>0</v>
      </c>
      <c r="AQ44" s="116">
        <v>0</v>
      </c>
      <c r="AR44" s="105">
        <v>0</v>
      </c>
      <c r="AS44" s="116">
        <v>0</v>
      </c>
      <c r="AT44" s="117">
        <v>0</v>
      </c>
    </row>
    <row r="45" spans="1:46" ht="15" customHeight="1" outlineLevel="1" x14ac:dyDescent="0.25">
      <c r="A45" s="42" t="s">
        <v>60</v>
      </c>
      <c r="B45" s="107">
        <v>0</v>
      </c>
      <c r="C45" s="116">
        <v>0</v>
      </c>
      <c r="D45" s="116">
        <v>0</v>
      </c>
      <c r="E45" s="116">
        <v>0</v>
      </c>
      <c r="F45" s="105">
        <v>0</v>
      </c>
      <c r="G45" s="116">
        <v>0</v>
      </c>
      <c r="H45" s="117">
        <v>0</v>
      </c>
      <c r="I45" s="110"/>
      <c r="J45" s="107">
        <v>0</v>
      </c>
      <c r="K45" s="116">
        <v>0</v>
      </c>
      <c r="L45" s="116">
        <v>0</v>
      </c>
      <c r="M45" s="116">
        <v>0</v>
      </c>
      <c r="N45" s="105">
        <v>0</v>
      </c>
      <c r="O45" s="116">
        <v>0</v>
      </c>
      <c r="P45" s="117">
        <v>0</v>
      </c>
      <c r="Q45" s="110"/>
      <c r="R45" s="107">
        <v>50000</v>
      </c>
      <c r="S45" s="116">
        <v>0</v>
      </c>
      <c r="T45" s="116">
        <v>50000</v>
      </c>
      <c r="U45" s="116">
        <v>0</v>
      </c>
      <c r="V45" s="105">
        <v>50000</v>
      </c>
      <c r="W45" s="116">
        <v>0</v>
      </c>
      <c r="X45" s="117">
        <v>50000</v>
      </c>
      <c r="Y45" s="110"/>
      <c r="Z45" s="107">
        <v>0</v>
      </c>
      <c r="AA45" s="116">
        <v>0</v>
      </c>
      <c r="AB45" s="116">
        <v>0</v>
      </c>
      <c r="AC45" s="116">
        <v>0</v>
      </c>
      <c r="AD45" s="105">
        <v>0</v>
      </c>
      <c r="AE45" s="116">
        <v>0</v>
      </c>
      <c r="AF45" s="117">
        <v>0</v>
      </c>
      <c r="AG45" s="110"/>
      <c r="AH45" s="107">
        <v>0</v>
      </c>
      <c r="AI45" s="116">
        <v>0</v>
      </c>
      <c r="AJ45" s="116">
        <v>0</v>
      </c>
      <c r="AK45" s="116">
        <v>0</v>
      </c>
      <c r="AL45" s="105">
        <v>0</v>
      </c>
      <c r="AM45" s="116">
        <v>0</v>
      </c>
      <c r="AN45" s="117">
        <v>0</v>
      </c>
      <c r="AO45" s="110"/>
      <c r="AP45" s="170">
        <v>0</v>
      </c>
      <c r="AQ45" s="116">
        <v>0</v>
      </c>
      <c r="AR45" s="105">
        <v>0</v>
      </c>
      <c r="AS45" s="116">
        <v>0</v>
      </c>
      <c r="AT45" s="117">
        <v>0</v>
      </c>
    </row>
    <row r="46" spans="1:46" ht="15" customHeight="1" outlineLevel="1" x14ac:dyDescent="0.25">
      <c r="A46" s="42" t="s">
        <v>61</v>
      </c>
      <c r="B46" s="107">
        <v>0</v>
      </c>
      <c r="C46" s="116">
        <v>0</v>
      </c>
      <c r="D46" s="116">
        <v>0</v>
      </c>
      <c r="E46" s="116">
        <v>0</v>
      </c>
      <c r="F46" s="105">
        <v>0</v>
      </c>
      <c r="G46" s="116">
        <v>0</v>
      </c>
      <c r="H46" s="117">
        <v>0</v>
      </c>
      <c r="I46" s="110"/>
      <c r="J46" s="107">
        <v>370</v>
      </c>
      <c r="K46" s="116">
        <v>454</v>
      </c>
      <c r="L46" s="116">
        <v>824</v>
      </c>
      <c r="M46" s="116">
        <v>453</v>
      </c>
      <c r="N46" s="105">
        <v>1277</v>
      </c>
      <c r="O46" s="116">
        <v>459</v>
      </c>
      <c r="P46" s="117">
        <v>1736</v>
      </c>
      <c r="Q46" s="110"/>
      <c r="R46" s="107">
        <v>310</v>
      </c>
      <c r="S46" s="116">
        <v>310</v>
      </c>
      <c r="T46" s="116">
        <v>620</v>
      </c>
      <c r="U46" s="116">
        <v>424</v>
      </c>
      <c r="V46" s="105">
        <v>1044</v>
      </c>
      <c r="W46" s="116">
        <v>467</v>
      </c>
      <c r="X46" s="117">
        <v>1511</v>
      </c>
      <c r="Y46" s="110"/>
      <c r="Z46" s="107">
        <v>246</v>
      </c>
      <c r="AA46" s="116">
        <v>283</v>
      </c>
      <c r="AB46" s="116">
        <v>529</v>
      </c>
      <c r="AC46" s="116">
        <v>296</v>
      </c>
      <c r="AD46" s="105">
        <v>825</v>
      </c>
      <c r="AE46" s="116">
        <v>336</v>
      </c>
      <c r="AF46" s="117">
        <v>1161</v>
      </c>
      <c r="AG46" s="110"/>
      <c r="AH46" s="107">
        <v>0</v>
      </c>
      <c r="AI46" s="116">
        <v>168</v>
      </c>
      <c r="AJ46" s="116">
        <v>168</v>
      </c>
      <c r="AK46" s="116">
        <v>87</v>
      </c>
      <c r="AL46" s="105">
        <v>255</v>
      </c>
      <c r="AM46" s="116">
        <v>89</v>
      </c>
      <c r="AN46" s="117">
        <v>344</v>
      </c>
      <c r="AO46" s="110"/>
      <c r="AP46" s="170">
        <v>0</v>
      </c>
      <c r="AQ46" s="116">
        <v>0</v>
      </c>
      <c r="AR46" s="105">
        <v>0</v>
      </c>
      <c r="AS46" s="116">
        <v>0</v>
      </c>
      <c r="AT46" s="117">
        <v>0</v>
      </c>
    </row>
    <row r="47" spans="1:46" ht="15" customHeight="1" outlineLevel="1" x14ac:dyDescent="0.25">
      <c r="A47" s="42" t="s">
        <v>62</v>
      </c>
      <c r="B47" s="107">
        <v>0</v>
      </c>
      <c r="C47" s="116">
        <v>0</v>
      </c>
      <c r="D47" s="116">
        <v>0</v>
      </c>
      <c r="E47" s="116">
        <v>0</v>
      </c>
      <c r="F47" s="105">
        <v>0</v>
      </c>
      <c r="G47" s="116">
        <v>0</v>
      </c>
      <c r="H47" s="117">
        <v>0</v>
      </c>
      <c r="I47" s="110"/>
      <c r="J47" s="107">
        <v>0</v>
      </c>
      <c r="K47" s="116">
        <v>0</v>
      </c>
      <c r="L47" s="116">
        <v>0</v>
      </c>
      <c r="M47" s="116">
        <v>0</v>
      </c>
      <c r="N47" s="105">
        <v>0</v>
      </c>
      <c r="O47" s="116">
        <v>0</v>
      </c>
      <c r="P47" s="117">
        <v>0</v>
      </c>
      <c r="Q47" s="110"/>
      <c r="R47" s="107">
        <v>0</v>
      </c>
      <c r="S47" s="116">
        <v>0</v>
      </c>
      <c r="T47" s="116">
        <v>0</v>
      </c>
      <c r="U47" s="116">
        <v>0</v>
      </c>
      <c r="V47" s="105">
        <v>0</v>
      </c>
      <c r="W47" s="116">
        <v>0</v>
      </c>
      <c r="X47" s="117">
        <v>0</v>
      </c>
      <c r="Y47" s="110"/>
      <c r="Z47" s="107">
        <v>0</v>
      </c>
      <c r="AA47" s="116">
        <v>0</v>
      </c>
      <c r="AB47" s="116">
        <v>0</v>
      </c>
      <c r="AC47" s="116">
        <v>0</v>
      </c>
      <c r="AD47" s="105">
        <v>0</v>
      </c>
      <c r="AE47" s="116">
        <v>0</v>
      </c>
      <c r="AF47" s="117">
        <v>0</v>
      </c>
      <c r="AG47" s="110"/>
      <c r="AH47" s="107">
        <v>0</v>
      </c>
      <c r="AI47" s="116">
        <v>0</v>
      </c>
      <c r="AJ47" s="116">
        <v>0</v>
      </c>
      <c r="AK47" s="116">
        <v>0</v>
      </c>
      <c r="AL47" s="105">
        <v>0</v>
      </c>
      <c r="AM47" s="116">
        <v>0</v>
      </c>
      <c r="AN47" s="117">
        <v>0</v>
      </c>
      <c r="AO47" s="110"/>
      <c r="AP47" s="170">
        <v>0</v>
      </c>
      <c r="AQ47" s="116">
        <v>0</v>
      </c>
      <c r="AR47" s="105">
        <v>0</v>
      </c>
      <c r="AS47" s="116">
        <v>0</v>
      </c>
      <c r="AT47" s="117">
        <v>0</v>
      </c>
    </row>
    <row r="48" spans="1:46" ht="15" customHeight="1" outlineLevel="1" x14ac:dyDescent="0.25">
      <c r="A48" s="42" t="s">
        <v>63</v>
      </c>
      <c r="B48" s="107">
        <v>0</v>
      </c>
      <c r="C48" s="116">
        <v>0</v>
      </c>
      <c r="D48" s="116">
        <v>0</v>
      </c>
      <c r="E48" s="116">
        <v>0</v>
      </c>
      <c r="F48" s="105">
        <v>0</v>
      </c>
      <c r="G48" s="116">
        <v>0</v>
      </c>
      <c r="H48" s="117">
        <v>0</v>
      </c>
      <c r="I48" s="110"/>
      <c r="J48" s="107">
        <v>0</v>
      </c>
      <c r="K48" s="116">
        <v>0</v>
      </c>
      <c r="L48" s="116">
        <v>0</v>
      </c>
      <c r="M48" s="116">
        <v>0</v>
      </c>
      <c r="N48" s="105">
        <v>0</v>
      </c>
      <c r="O48" s="116">
        <v>0</v>
      </c>
      <c r="P48" s="117">
        <v>0</v>
      </c>
      <c r="Q48" s="110"/>
      <c r="R48" s="107">
        <v>0</v>
      </c>
      <c r="S48" s="116">
        <v>0</v>
      </c>
      <c r="T48" s="116">
        <v>0</v>
      </c>
      <c r="U48" s="116">
        <v>0</v>
      </c>
      <c r="V48" s="105">
        <v>0</v>
      </c>
      <c r="W48" s="116">
        <v>0</v>
      </c>
      <c r="X48" s="117">
        <v>0</v>
      </c>
      <c r="Y48" s="110"/>
      <c r="Z48" s="107">
        <v>0</v>
      </c>
      <c r="AA48" s="116">
        <v>0</v>
      </c>
      <c r="AB48" s="116">
        <v>0</v>
      </c>
      <c r="AC48" s="116">
        <v>0</v>
      </c>
      <c r="AD48" s="105">
        <v>0</v>
      </c>
      <c r="AE48" s="116">
        <v>0</v>
      </c>
      <c r="AF48" s="117">
        <v>0</v>
      </c>
      <c r="AG48" s="110"/>
      <c r="AH48" s="107">
        <v>0</v>
      </c>
      <c r="AI48" s="116">
        <v>0</v>
      </c>
      <c r="AJ48" s="116">
        <v>0</v>
      </c>
      <c r="AK48" s="116">
        <v>0</v>
      </c>
      <c r="AL48" s="105">
        <v>0</v>
      </c>
      <c r="AM48" s="116">
        <v>0</v>
      </c>
      <c r="AN48" s="117">
        <v>0</v>
      </c>
      <c r="AO48" s="110"/>
      <c r="AP48" s="170">
        <v>0</v>
      </c>
      <c r="AQ48" s="116">
        <v>0</v>
      </c>
      <c r="AR48" s="105">
        <v>0</v>
      </c>
      <c r="AS48" s="116">
        <v>0</v>
      </c>
      <c r="AT48" s="117">
        <v>0</v>
      </c>
    </row>
    <row r="49" spans="1:46" ht="15" customHeight="1" outlineLevel="1" x14ac:dyDescent="0.25">
      <c r="A49" s="42" t="s">
        <v>86</v>
      </c>
      <c r="B49" s="107">
        <v>0</v>
      </c>
      <c r="C49" s="116">
        <v>0</v>
      </c>
      <c r="D49" s="116">
        <v>0</v>
      </c>
      <c r="E49" s="116">
        <v>0</v>
      </c>
      <c r="F49" s="105">
        <v>0</v>
      </c>
      <c r="G49" s="116">
        <v>0</v>
      </c>
      <c r="H49" s="117">
        <v>0</v>
      </c>
      <c r="I49" s="110"/>
      <c r="J49" s="107">
        <v>0</v>
      </c>
      <c r="K49" s="116">
        <v>0</v>
      </c>
      <c r="L49" s="116">
        <v>0</v>
      </c>
      <c r="M49" s="116">
        <v>0</v>
      </c>
      <c r="N49" s="105">
        <v>0</v>
      </c>
      <c r="O49" s="116">
        <v>0</v>
      </c>
      <c r="P49" s="117">
        <v>0</v>
      </c>
      <c r="Q49" s="110"/>
      <c r="R49" s="107">
        <v>1617</v>
      </c>
      <c r="S49" s="116">
        <v>454</v>
      </c>
      <c r="T49" s="116">
        <v>2071</v>
      </c>
      <c r="U49" s="116">
        <v>676</v>
      </c>
      <c r="V49" s="105">
        <v>2747</v>
      </c>
      <c r="W49" s="116">
        <v>87</v>
      </c>
      <c r="X49" s="117">
        <v>2834</v>
      </c>
      <c r="Y49" s="110"/>
      <c r="Z49" s="107">
        <v>1575</v>
      </c>
      <c r="AA49" s="116">
        <v>1843</v>
      </c>
      <c r="AB49" s="116">
        <v>3418</v>
      </c>
      <c r="AC49" s="116">
        <v>1395</v>
      </c>
      <c r="AD49" s="105">
        <v>4813</v>
      </c>
      <c r="AE49" s="116">
        <v>2607</v>
      </c>
      <c r="AF49" s="117">
        <v>7420</v>
      </c>
      <c r="AG49" s="110"/>
      <c r="AH49" s="107">
        <v>0</v>
      </c>
      <c r="AI49" s="116">
        <v>0</v>
      </c>
      <c r="AJ49" s="116">
        <v>0</v>
      </c>
      <c r="AK49" s="116">
        <v>0</v>
      </c>
      <c r="AL49" s="105">
        <v>0</v>
      </c>
      <c r="AM49" s="116">
        <v>0</v>
      </c>
      <c r="AN49" s="117">
        <v>0</v>
      </c>
      <c r="AO49" s="110"/>
      <c r="AP49" s="170">
        <v>0</v>
      </c>
      <c r="AQ49" s="116">
        <v>0</v>
      </c>
      <c r="AR49" s="105">
        <v>0</v>
      </c>
      <c r="AS49" s="116">
        <v>0</v>
      </c>
      <c r="AT49" s="117">
        <v>0</v>
      </c>
    </row>
    <row r="50" spans="1:46" ht="15" customHeight="1" outlineLevel="1" x14ac:dyDescent="0.25">
      <c r="A50" s="42" t="s">
        <v>14</v>
      </c>
      <c r="B50" s="107">
        <v>300</v>
      </c>
      <c r="C50" s="116">
        <v>313</v>
      </c>
      <c r="D50" s="116">
        <v>613</v>
      </c>
      <c r="E50" s="116">
        <v>338</v>
      </c>
      <c r="F50" s="105">
        <v>951</v>
      </c>
      <c r="G50" s="116">
        <v>61</v>
      </c>
      <c r="H50" s="117">
        <v>0</v>
      </c>
      <c r="I50" s="110"/>
      <c r="J50" s="107">
        <v>261</v>
      </c>
      <c r="K50" s="116">
        <v>22</v>
      </c>
      <c r="L50" s="116">
        <v>283</v>
      </c>
      <c r="M50" s="116">
        <v>10</v>
      </c>
      <c r="N50" s="105">
        <v>293</v>
      </c>
      <c r="O50" s="116">
        <v>11</v>
      </c>
      <c r="P50" s="117">
        <v>304</v>
      </c>
      <c r="Q50" s="110"/>
      <c r="R50" s="107">
        <v>210</v>
      </c>
      <c r="S50" s="116">
        <v>210</v>
      </c>
      <c r="T50" s="116">
        <v>420</v>
      </c>
      <c r="U50" s="116">
        <v>239</v>
      </c>
      <c r="V50" s="105">
        <v>659</v>
      </c>
      <c r="W50" s="116">
        <v>1</v>
      </c>
      <c r="X50" s="117">
        <v>660</v>
      </c>
      <c r="Y50" s="110"/>
      <c r="Z50" s="107">
        <v>404</v>
      </c>
      <c r="AA50" s="116">
        <v>231</v>
      </c>
      <c r="AB50" s="116">
        <v>635</v>
      </c>
      <c r="AC50" s="116">
        <v>314</v>
      </c>
      <c r="AD50" s="105">
        <v>949</v>
      </c>
      <c r="AE50" s="116">
        <v>766</v>
      </c>
      <c r="AF50" s="117">
        <v>1715</v>
      </c>
      <c r="AG50" s="110"/>
      <c r="AH50" s="107">
        <v>241</v>
      </c>
      <c r="AI50" s="116">
        <v>267</v>
      </c>
      <c r="AJ50" s="116">
        <v>508</v>
      </c>
      <c r="AK50" s="116">
        <v>269</v>
      </c>
      <c r="AL50" s="105">
        <v>777</v>
      </c>
      <c r="AM50" s="116">
        <v>278</v>
      </c>
      <c r="AN50" s="117">
        <v>1055</v>
      </c>
      <c r="AO50" s="110"/>
      <c r="AP50" s="107">
        <v>135</v>
      </c>
      <c r="AQ50" s="116">
        <v>261</v>
      </c>
      <c r="AR50" s="105">
        <v>396</v>
      </c>
      <c r="AS50" s="116">
        <v>278</v>
      </c>
      <c r="AT50" s="106">
        <v>674</v>
      </c>
    </row>
    <row r="51" spans="1:46" ht="17.25" customHeight="1" outlineLevel="1" x14ac:dyDescent="0.4">
      <c r="A51" s="42" t="s">
        <v>34</v>
      </c>
      <c r="B51" s="111">
        <v>0</v>
      </c>
      <c r="C51" s="112">
        <v>0</v>
      </c>
      <c r="D51" s="112">
        <v>0</v>
      </c>
      <c r="E51" s="112">
        <v>0</v>
      </c>
      <c r="F51" s="112">
        <v>0</v>
      </c>
      <c r="G51" s="112">
        <v>0</v>
      </c>
      <c r="H51" s="113">
        <v>0</v>
      </c>
      <c r="I51" s="110"/>
      <c r="J51" s="111">
        <v>0</v>
      </c>
      <c r="K51" s="112">
        <v>0</v>
      </c>
      <c r="L51" s="112">
        <v>0</v>
      </c>
      <c r="M51" s="112">
        <v>0</v>
      </c>
      <c r="N51" s="112">
        <v>0</v>
      </c>
      <c r="O51" s="112">
        <v>0</v>
      </c>
      <c r="P51" s="113">
        <v>0</v>
      </c>
      <c r="Q51" s="110"/>
      <c r="R51" s="111">
        <v>0</v>
      </c>
      <c r="S51" s="112">
        <v>-65</v>
      </c>
      <c r="T51" s="112">
        <v>-65</v>
      </c>
      <c r="U51" s="112">
        <v>329</v>
      </c>
      <c r="V51" s="112">
        <v>264</v>
      </c>
      <c r="W51" s="112">
        <v>-264</v>
      </c>
      <c r="X51" s="113">
        <v>0</v>
      </c>
      <c r="Y51" s="110"/>
      <c r="Z51" s="111">
        <v>0</v>
      </c>
      <c r="AA51" s="112">
        <v>221</v>
      </c>
      <c r="AB51" s="112">
        <v>221</v>
      </c>
      <c r="AC51" s="112">
        <v>-275</v>
      </c>
      <c r="AD51" s="112">
        <v>-54</v>
      </c>
      <c r="AE51" s="112">
        <v>212</v>
      </c>
      <c r="AF51" s="113">
        <v>158</v>
      </c>
      <c r="AG51" s="110"/>
      <c r="AH51" s="111">
        <v>-37</v>
      </c>
      <c r="AI51" s="112">
        <v>-45</v>
      </c>
      <c r="AJ51" s="112">
        <v>-82</v>
      </c>
      <c r="AK51" s="112">
        <v>216</v>
      </c>
      <c r="AL51" s="112">
        <v>134</v>
      </c>
      <c r="AM51" s="112">
        <v>47</v>
      </c>
      <c r="AN51" s="113">
        <v>181</v>
      </c>
      <c r="AO51" s="110"/>
      <c r="AP51" s="111">
        <v>-167</v>
      </c>
      <c r="AQ51" s="112">
        <v>173</v>
      </c>
      <c r="AR51" s="112">
        <v>6</v>
      </c>
      <c r="AS51" s="112">
        <v>9</v>
      </c>
      <c r="AT51" s="113">
        <v>15</v>
      </c>
    </row>
    <row r="52" spans="1:46" s="100" customFormat="1" x14ac:dyDescent="0.25">
      <c r="A52" s="88" t="s">
        <v>65</v>
      </c>
      <c r="B52" s="108">
        <v>3163</v>
      </c>
      <c r="C52" s="118">
        <v>7943</v>
      </c>
      <c r="D52" s="118">
        <v>11106</v>
      </c>
      <c r="E52" s="118">
        <v>12524</v>
      </c>
      <c r="F52" s="118">
        <v>23630</v>
      </c>
      <c r="G52" s="118">
        <v>-13348</v>
      </c>
      <c r="H52" s="119">
        <v>0</v>
      </c>
      <c r="I52" s="109"/>
      <c r="J52" s="108">
        <v>1875</v>
      </c>
      <c r="K52" s="118">
        <v>8805</v>
      </c>
      <c r="L52" s="118">
        <v>10680</v>
      </c>
      <c r="M52" s="118">
        <v>13196</v>
      </c>
      <c r="N52" s="118">
        <v>23876</v>
      </c>
      <c r="O52" s="118">
        <v>11860</v>
      </c>
      <c r="P52" s="119">
        <v>35736</v>
      </c>
      <c r="Q52" s="109"/>
      <c r="R52" s="108">
        <v>-4391</v>
      </c>
      <c r="S52" s="118">
        <v>622</v>
      </c>
      <c r="T52" s="118">
        <v>-3769</v>
      </c>
      <c r="U52" s="118">
        <v>4720</v>
      </c>
      <c r="V52" s="118">
        <v>951</v>
      </c>
      <c r="W52" s="118">
        <v>5912</v>
      </c>
      <c r="X52" s="119">
        <v>6863</v>
      </c>
      <c r="Y52" s="109"/>
      <c r="Z52" s="108">
        <v>5605</v>
      </c>
      <c r="AA52" s="118">
        <v>9120</v>
      </c>
      <c r="AB52" s="118">
        <v>14725</v>
      </c>
      <c r="AC52" s="118">
        <v>8766</v>
      </c>
      <c r="AD52" s="118">
        <v>23491</v>
      </c>
      <c r="AE52" s="118">
        <v>12655</v>
      </c>
      <c r="AF52" s="119">
        <v>36146</v>
      </c>
      <c r="AG52" s="109"/>
      <c r="AH52" s="108">
        <v>4252</v>
      </c>
      <c r="AI52" s="118">
        <v>5879</v>
      </c>
      <c r="AJ52" s="118">
        <v>10131</v>
      </c>
      <c r="AK52" s="118">
        <v>7409</v>
      </c>
      <c r="AL52" s="118">
        <v>17540</v>
      </c>
      <c r="AM52" s="118">
        <v>8865</v>
      </c>
      <c r="AN52" s="119">
        <v>26405</v>
      </c>
      <c r="AO52" s="109"/>
      <c r="AP52" s="108">
        <v>3066</v>
      </c>
      <c r="AQ52" s="118">
        <v>6631</v>
      </c>
      <c r="AR52" s="103">
        <v>9697</v>
      </c>
      <c r="AS52" s="118">
        <v>9673</v>
      </c>
      <c r="AT52" s="104">
        <v>19370</v>
      </c>
    </row>
    <row r="53" spans="1:46" x14ac:dyDescent="0.25">
      <c r="A53" s="42"/>
      <c r="B53" s="108"/>
      <c r="C53" s="110"/>
      <c r="D53" s="110"/>
      <c r="E53" s="110"/>
      <c r="F53" s="110"/>
      <c r="G53" s="110"/>
      <c r="H53" s="120"/>
      <c r="I53" s="110"/>
      <c r="J53" s="108"/>
      <c r="K53" s="110"/>
      <c r="L53" s="110"/>
      <c r="M53" s="110"/>
      <c r="N53" s="110"/>
      <c r="O53" s="110"/>
      <c r="P53" s="120"/>
      <c r="Q53" s="110"/>
      <c r="R53" s="108"/>
      <c r="S53" s="110"/>
      <c r="T53" s="110"/>
      <c r="U53" s="110"/>
      <c r="V53" s="110"/>
      <c r="W53" s="110"/>
      <c r="X53" s="120"/>
      <c r="Y53" s="110"/>
      <c r="Z53" s="108"/>
      <c r="AA53" s="110"/>
      <c r="AB53" s="110"/>
      <c r="AC53" s="110"/>
      <c r="AD53" s="110"/>
      <c r="AE53" s="110"/>
      <c r="AF53" s="120"/>
      <c r="AG53" s="110"/>
      <c r="AH53" s="108"/>
      <c r="AI53" s="110"/>
      <c r="AJ53" s="110"/>
      <c r="AK53" s="110"/>
      <c r="AL53" s="110"/>
      <c r="AM53" s="110"/>
      <c r="AN53" s="120"/>
      <c r="AO53" s="110"/>
      <c r="AP53" s="171"/>
      <c r="AQ53" s="110"/>
      <c r="AR53" s="110"/>
      <c r="AS53" s="110"/>
      <c r="AT53" s="120"/>
    </row>
    <row r="54" spans="1:46" x14ac:dyDescent="0.25">
      <c r="A54" s="42"/>
      <c r="B54" s="108"/>
      <c r="C54" s="110"/>
      <c r="D54" s="110"/>
      <c r="E54" s="110"/>
      <c r="F54" s="110"/>
      <c r="G54" s="110"/>
      <c r="H54" s="120"/>
      <c r="I54" s="110"/>
      <c r="J54" s="108"/>
      <c r="K54" s="110"/>
      <c r="L54" s="110"/>
      <c r="M54" s="110"/>
      <c r="N54" s="110"/>
      <c r="O54" s="110"/>
      <c r="P54" s="120"/>
      <c r="Q54" s="110"/>
      <c r="R54" s="108"/>
      <c r="S54" s="110"/>
      <c r="T54" s="110"/>
      <c r="U54" s="110"/>
      <c r="V54" s="110"/>
      <c r="W54" s="110"/>
      <c r="X54" s="120"/>
      <c r="Y54" s="110"/>
      <c r="Z54" s="108"/>
      <c r="AA54" s="110"/>
      <c r="AB54" s="110"/>
      <c r="AC54" s="110"/>
      <c r="AD54" s="110"/>
      <c r="AE54" s="110"/>
      <c r="AF54" s="120"/>
      <c r="AG54" s="110"/>
      <c r="AH54" s="108"/>
      <c r="AI54" s="110"/>
      <c r="AJ54" s="110"/>
      <c r="AK54" s="110"/>
      <c r="AL54" s="110"/>
      <c r="AM54" s="110"/>
      <c r="AN54" s="120"/>
      <c r="AO54" s="110"/>
      <c r="AP54" s="171"/>
      <c r="AQ54" s="110"/>
      <c r="AR54" s="110"/>
      <c r="AS54" s="110"/>
      <c r="AT54" s="120"/>
    </row>
    <row r="55" spans="1:46" s="100" customFormat="1" x14ac:dyDescent="0.25">
      <c r="A55" s="88" t="s">
        <v>25</v>
      </c>
      <c r="B55" s="108">
        <v>290070</v>
      </c>
      <c r="C55" s="118">
        <v>289785</v>
      </c>
      <c r="D55" s="118"/>
      <c r="E55" s="118">
        <v>299158</v>
      </c>
      <c r="F55" s="118"/>
      <c r="G55" s="118">
        <v>0</v>
      </c>
      <c r="H55" s="119"/>
      <c r="I55" s="109"/>
      <c r="J55" s="108">
        <v>290717</v>
      </c>
      <c r="K55" s="118">
        <v>301512</v>
      </c>
      <c r="L55" s="118"/>
      <c r="M55" s="118">
        <v>300369</v>
      </c>
      <c r="N55" s="118"/>
      <c r="O55" s="118">
        <v>293536</v>
      </c>
      <c r="P55" s="119"/>
      <c r="Q55" s="109"/>
      <c r="R55" s="108">
        <v>248870</v>
      </c>
      <c r="S55" s="118">
        <v>270583</v>
      </c>
      <c r="T55" s="118"/>
      <c r="U55" s="118">
        <v>279292</v>
      </c>
      <c r="V55" s="118"/>
      <c r="W55" s="118">
        <v>282678</v>
      </c>
      <c r="X55" s="119"/>
      <c r="Y55" s="109"/>
      <c r="Z55" s="108">
        <v>340030</v>
      </c>
      <c r="AA55" s="118">
        <v>343004</v>
      </c>
      <c r="AB55" s="118"/>
      <c r="AC55" s="118">
        <v>337469</v>
      </c>
      <c r="AD55" s="118"/>
      <c r="AE55" s="118">
        <v>317994</v>
      </c>
      <c r="AF55" s="119"/>
      <c r="AG55" s="109"/>
      <c r="AH55" s="108">
        <v>138525</v>
      </c>
      <c r="AI55" s="118">
        <v>138923</v>
      </c>
      <c r="AJ55" s="118"/>
      <c r="AK55" s="118">
        <v>142299</v>
      </c>
      <c r="AL55" s="118"/>
      <c r="AM55" s="118">
        <v>137804</v>
      </c>
      <c r="AN55" s="119"/>
      <c r="AO55" s="109"/>
      <c r="AP55" s="172">
        <v>139159</v>
      </c>
      <c r="AQ55" s="118">
        <v>139782</v>
      </c>
      <c r="AR55" s="118"/>
      <c r="AS55" s="103">
        <v>142571</v>
      </c>
      <c r="AT55" s="119"/>
    </row>
    <row r="56" spans="1:46" s="100" customFormat="1" ht="7.5" customHeight="1" x14ac:dyDescent="0.25">
      <c r="A56" s="88"/>
      <c r="B56" s="108"/>
      <c r="C56" s="118"/>
      <c r="D56" s="118"/>
      <c r="E56" s="109"/>
      <c r="F56" s="118"/>
      <c r="G56" s="118"/>
      <c r="H56" s="119"/>
      <c r="I56" s="110"/>
      <c r="J56" s="108"/>
      <c r="K56" s="118"/>
      <c r="L56" s="118"/>
      <c r="M56" s="109"/>
      <c r="N56" s="118"/>
      <c r="O56" s="118"/>
      <c r="P56" s="119"/>
      <c r="Q56" s="110"/>
      <c r="R56" s="108"/>
      <c r="S56" s="118"/>
      <c r="T56" s="118"/>
      <c r="U56" s="109"/>
      <c r="V56" s="118"/>
      <c r="W56" s="118"/>
      <c r="X56" s="119"/>
      <c r="Y56" s="110"/>
      <c r="Z56" s="108"/>
      <c r="AA56" s="118"/>
      <c r="AB56" s="118"/>
      <c r="AC56" s="109"/>
      <c r="AD56" s="118"/>
      <c r="AE56" s="118"/>
      <c r="AF56" s="119"/>
      <c r="AG56" s="110"/>
      <c r="AH56" s="108"/>
      <c r="AI56" s="118"/>
      <c r="AJ56" s="118"/>
      <c r="AK56" s="118"/>
      <c r="AL56" s="118"/>
      <c r="AM56" s="118"/>
      <c r="AN56" s="119"/>
      <c r="AO56" s="110"/>
      <c r="AP56" s="172"/>
      <c r="AQ56" s="118"/>
      <c r="AR56" s="118"/>
      <c r="AS56" s="118"/>
      <c r="AT56" s="119"/>
    </row>
    <row r="57" spans="1:46" ht="15" customHeight="1" outlineLevel="1" x14ac:dyDescent="0.25">
      <c r="A57" s="42" t="s">
        <v>26</v>
      </c>
      <c r="B57" s="107">
        <v>54597</v>
      </c>
      <c r="C57" s="116">
        <v>53742</v>
      </c>
      <c r="D57" s="105"/>
      <c r="E57" s="116">
        <v>57840</v>
      </c>
      <c r="F57" s="105"/>
      <c r="G57" s="116">
        <v>0</v>
      </c>
      <c r="H57" s="106"/>
      <c r="I57" s="110"/>
      <c r="J57" s="107">
        <v>82255</v>
      </c>
      <c r="K57" s="116">
        <v>87018</v>
      </c>
      <c r="L57" s="105"/>
      <c r="M57" s="116">
        <v>72664</v>
      </c>
      <c r="N57" s="105"/>
      <c r="O57" s="116">
        <v>77036</v>
      </c>
      <c r="P57" s="106"/>
      <c r="Q57" s="110"/>
      <c r="R57" s="107">
        <v>93022</v>
      </c>
      <c r="S57" s="116">
        <v>69807</v>
      </c>
      <c r="T57" s="105"/>
      <c r="U57" s="116">
        <v>68813</v>
      </c>
      <c r="V57" s="105"/>
      <c r="W57" s="116">
        <v>85034</v>
      </c>
      <c r="X57" s="106"/>
      <c r="Y57" s="110"/>
      <c r="Z57" s="107">
        <v>122717</v>
      </c>
      <c r="AA57" s="116">
        <v>126060</v>
      </c>
      <c r="AB57" s="105"/>
      <c r="AC57" s="116">
        <v>124174</v>
      </c>
      <c r="AD57" s="105"/>
      <c r="AE57" s="116">
        <v>111308</v>
      </c>
      <c r="AF57" s="106"/>
      <c r="AG57" s="110"/>
      <c r="AH57" s="107">
        <v>57625</v>
      </c>
      <c r="AI57" s="116">
        <v>57437</v>
      </c>
      <c r="AJ57" s="105"/>
      <c r="AK57" s="105">
        <v>54416</v>
      </c>
      <c r="AL57" s="116"/>
      <c r="AM57" s="116">
        <v>41478</v>
      </c>
      <c r="AN57" s="106"/>
      <c r="AO57" s="110"/>
      <c r="AP57" s="107">
        <v>69655</v>
      </c>
      <c r="AQ57" s="105">
        <v>63578</v>
      </c>
      <c r="AR57" s="105"/>
      <c r="AS57" s="105">
        <v>62439</v>
      </c>
      <c r="AT57" s="106"/>
    </row>
    <row r="58" spans="1:46" ht="15" customHeight="1" outlineLevel="1" x14ac:dyDescent="0.25">
      <c r="A58" s="42" t="s">
        <v>28</v>
      </c>
      <c r="B58" s="107">
        <v>125610</v>
      </c>
      <c r="C58" s="116">
        <v>122515</v>
      </c>
      <c r="D58" s="105"/>
      <c r="E58" s="116">
        <v>119673</v>
      </c>
      <c r="F58" s="105"/>
      <c r="G58" s="116">
        <v>0</v>
      </c>
      <c r="H58" s="106"/>
      <c r="I58" s="110"/>
      <c r="J58" s="107">
        <v>113907</v>
      </c>
      <c r="K58" s="116">
        <v>119034</v>
      </c>
      <c r="L58" s="105"/>
      <c r="M58" s="116">
        <v>124345</v>
      </c>
      <c r="N58" s="105"/>
      <c r="O58" s="116">
        <v>106496</v>
      </c>
      <c r="P58" s="106"/>
      <c r="Q58" s="110"/>
      <c r="R58" s="107">
        <v>103042</v>
      </c>
      <c r="S58" s="116">
        <v>115528</v>
      </c>
      <c r="T58" s="105"/>
      <c r="U58" s="116">
        <v>120967</v>
      </c>
      <c r="V58" s="105"/>
      <c r="W58" s="116">
        <v>104804</v>
      </c>
      <c r="X58" s="106"/>
      <c r="Y58" s="110"/>
      <c r="Z58" s="107">
        <v>134207</v>
      </c>
      <c r="AA58" s="116">
        <v>131897</v>
      </c>
      <c r="AB58" s="105"/>
      <c r="AC58" s="116">
        <v>126205</v>
      </c>
      <c r="AD58" s="105"/>
      <c r="AE58" s="116">
        <v>116684</v>
      </c>
      <c r="AF58" s="106"/>
      <c r="AG58" s="110"/>
      <c r="AH58" s="107">
        <v>54196</v>
      </c>
      <c r="AI58" s="116">
        <v>53511</v>
      </c>
      <c r="AJ58" s="105"/>
      <c r="AK58" s="105">
        <v>56572</v>
      </c>
      <c r="AL58" s="116"/>
      <c r="AM58" s="116">
        <v>60873</v>
      </c>
      <c r="AN58" s="106"/>
      <c r="AO58" s="110"/>
      <c r="AP58" s="107">
        <v>51148</v>
      </c>
      <c r="AQ58" s="105">
        <v>55330</v>
      </c>
      <c r="AR58" s="105"/>
      <c r="AS58" s="105">
        <v>54666</v>
      </c>
      <c r="AT58" s="106"/>
    </row>
    <row r="59" spans="1:46" s="100" customFormat="1" x14ac:dyDescent="0.25">
      <c r="A59" s="88" t="s">
        <v>29</v>
      </c>
      <c r="B59" s="108">
        <v>180207</v>
      </c>
      <c r="C59" s="118">
        <v>176257</v>
      </c>
      <c r="D59" s="103"/>
      <c r="E59" s="118">
        <v>177513</v>
      </c>
      <c r="F59" s="103"/>
      <c r="G59" s="118">
        <v>0</v>
      </c>
      <c r="H59" s="104"/>
      <c r="I59" s="109"/>
      <c r="J59" s="108">
        <v>196162</v>
      </c>
      <c r="K59" s="118">
        <v>206052</v>
      </c>
      <c r="L59" s="103"/>
      <c r="M59" s="118">
        <v>197009</v>
      </c>
      <c r="N59" s="103"/>
      <c r="O59" s="118">
        <v>183532</v>
      </c>
      <c r="P59" s="104"/>
      <c r="Q59" s="109"/>
      <c r="R59" s="108">
        <v>196064</v>
      </c>
      <c r="S59" s="118">
        <v>185335</v>
      </c>
      <c r="T59" s="103"/>
      <c r="U59" s="118">
        <v>189780</v>
      </c>
      <c r="V59" s="103"/>
      <c r="W59" s="118">
        <v>189838</v>
      </c>
      <c r="X59" s="104"/>
      <c r="Y59" s="109"/>
      <c r="Z59" s="108">
        <v>256924</v>
      </c>
      <c r="AA59" s="118">
        <v>257957</v>
      </c>
      <c r="AB59" s="103"/>
      <c r="AC59" s="118">
        <v>250379</v>
      </c>
      <c r="AD59" s="103"/>
      <c r="AE59" s="118">
        <v>227992</v>
      </c>
      <c r="AF59" s="104"/>
      <c r="AG59" s="109"/>
      <c r="AH59" s="108">
        <v>111821</v>
      </c>
      <c r="AI59" s="118">
        <v>110948</v>
      </c>
      <c r="AJ59" s="103"/>
      <c r="AK59" s="103">
        <v>110988</v>
      </c>
      <c r="AL59" s="118"/>
      <c r="AM59" s="118">
        <v>102351</v>
      </c>
      <c r="AN59" s="104"/>
      <c r="AO59" s="109"/>
      <c r="AP59" s="108">
        <v>120803</v>
      </c>
      <c r="AQ59" s="103">
        <v>118908</v>
      </c>
      <c r="AR59" s="103"/>
      <c r="AS59" s="103">
        <v>117105</v>
      </c>
      <c r="AT59" s="104"/>
    </row>
    <row r="60" spans="1:46" s="100" customFormat="1" ht="6.75" customHeight="1" x14ac:dyDescent="0.25">
      <c r="A60" s="88"/>
      <c r="B60" s="108"/>
      <c r="C60" s="118"/>
      <c r="D60" s="103"/>
      <c r="E60" s="118"/>
      <c r="F60" s="103"/>
      <c r="G60" s="118"/>
      <c r="H60" s="104"/>
      <c r="I60" s="110"/>
      <c r="J60" s="108"/>
      <c r="K60" s="118"/>
      <c r="L60" s="103"/>
      <c r="M60" s="118"/>
      <c r="N60" s="103"/>
      <c r="O60" s="118"/>
      <c r="P60" s="104"/>
      <c r="Q60" s="110"/>
      <c r="R60" s="108"/>
      <c r="S60" s="118"/>
      <c r="T60" s="103"/>
      <c r="U60" s="118"/>
      <c r="V60" s="103"/>
      <c r="W60" s="118"/>
      <c r="X60" s="104"/>
      <c r="Y60" s="110"/>
      <c r="Z60" s="108"/>
      <c r="AA60" s="118"/>
      <c r="AB60" s="103"/>
      <c r="AC60" s="118"/>
      <c r="AD60" s="103"/>
      <c r="AE60" s="118"/>
      <c r="AF60" s="104"/>
      <c r="AG60" s="110"/>
      <c r="AH60" s="108"/>
      <c r="AI60" s="118"/>
      <c r="AJ60" s="103"/>
      <c r="AK60" s="103"/>
      <c r="AL60" s="118"/>
      <c r="AM60" s="118"/>
      <c r="AN60" s="104"/>
      <c r="AO60" s="110"/>
      <c r="AP60" s="108"/>
      <c r="AQ60" s="103"/>
      <c r="AR60" s="103"/>
      <c r="AS60" s="118"/>
      <c r="AT60" s="104"/>
    </row>
    <row r="61" spans="1:46" s="100" customFormat="1" x14ac:dyDescent="0.25">
      <c r="A61" s="88" t="s">
        <v>36</v>
      </c>
      <c r="B61" s="108">
        <v>109863</v>
      </c>
      <c r="C61" s="118">
        <v>113528</v>
      </c>
      <c r="D61" s="103"/>
      <c r="E61" s="118">
        <v>121645</v>
      </c>
      <c r="F61" s="103"/>
      <c r="G61" s="118">
        <v>0</v>
      </c>
      <c r="H61" s="104"/>
      <c r="I61" s="109"/>
      <c r="J61" s="108">
        <v>94555</v>
      </c>
      <c r="K61" s="118">
        <v>95460</v>
      </c>
      <c r="L61" s="103"/>
      <c r="M61" s="118">
        <v>103360</v>
      </c>
      <c r="N61" s="103"/>
      <c r="O61" s="118">
        <v>110004</v>
      </c>
      <c r="P61" s="104"/>
      <c r="Q61" s="109"/>
      <c r="R61" s="108">
        <v>52806</v>
      </c>
      <c r="S61" s="118">
        <v>85248</v>
      </c>
      <c r="T61" s="103"/>
      <c r="U61" s="118">
        <v>89512</v>
      </c>
      <c r="V61" s="103"/>
      <c r="W61" s="118">
        <v>92840</v>
      </c>
      <c r="X61" s="104"/>
      <c r="Y61" s="109"/>
      <c r="Z61" s="108">
        <v>83106</v>
      </c>
      <c r="AA61" s="118">
        <v>85047</v>
      </c>
      <c r="AB61" s="103"/>
      <c r="AC61" s="118">
        <v>87090</v>
      </c>
      <c r="AD61" s="103"/>
      <c r="AE61" s="118">
        <v>90002</v>
      </c>
      <c r="AF61" s="104"/>
      <c r="AG61" s="109"/>
      <c r="AH61" s="108">
        <v>26704</v>
      </c>
      <c r="AI61" s="118">
        <v>27975</v>
      </c>
      <c r="AJ61" s="103"/>
      <c r="AK61" s="103">
        <v>31311</v>
      </c>
      <c r="AL61" s="118"/>
      <c r="AM61" s="118">
        <v>35453</v>
      </c>
      <c r="AN61" s="104"/>
      <c r="AO61" s="109"/>
      <c r="AP61" s="108">
        <v>18356</v>
      </c>
      <c r="AQ61" s="103">
        <v>20874</v>
      </c>
      <c r="AR61" s="103"/>
      <c r="AS61" s="103">
        <v>25466</v>
      </c>
      <c r="AT61" s="104"/>
    </row>
    <row r="62" spans="1:46" ht="7.5" customHeight="1" x14ac:dyDescent="0.25">
      <c r="A62" s="42"/>
      <c r="B62" s="108"/>
      <c r="C62" s="116"/>
      <c r="D62" s="116"/>
      <c r="E62" s="116"/>
      <c r="F62" s="116"/>
      <c r="G62" s="116"/>
      <c r="H62" s="117"/>
      <c r="I62" s="110"/>
      <c r="J62" s="108"/>
      <c r="K62" s="116"/>
      <c r="L62" s="116"/>
      <c r="M62" s="116"/>
      <c r="N62" s="116"/>
      <c r="O62" s="116"/>
      <c r="P62" s="117"/>
      <c r="Q62" s="110"/>
      <c r="R62" s="108"/>
      <c r="S62" s="116"/>
      <c r="T62" s="116"/>
      <c r="U62" s="116"/>
      <c r="V62" s="116"/>
      <c r="W62" s="116"/>
      <c r="X62" s="117"/>
      <c r="Y62" s="110"/>
      <c r="Z62" s="108"/>
      <c r="AA62" s="116"/>
      <c r="AB62" s="116"/>
      <c r="AC62" s="116"/>
      <c r="AD62" s="116"/>
      <c r="AE62" s="116"/>
      <c r="AF62" s="117"/>
      <c r="AG62" s="110"/>
      <c r="AH62" s="108"/>
      <c r="AI62" s="116"/>
      <c r="AJ62" s="116"/>
      <c r="AK62" s="116"/>
      <c r="AL62" s="116"/>
      <c r="AM62" s="116"/>
      <c r="AN62" s="117"/>
      <c r="AO62" s="110"/>
      <c r="AP62" s="170"/>
      <c r="AQ62" s="116"/>
      <c r="AR62" s="116"/>
      <c r="AS62" s="116"/>
      <c r="AT62" s="117"/>
    </row>
    <row r="63" spans="1:46" s="100" customFormat="1" x14ac:dyDescent="0.25">
      <c r="A63" s="88" t="s">
        <v>66</v>
      </c>
      <c r="B63" s="108">
        <v>834</v>
      </c>
      <c r="C63" s="109">
        <v>1347</v>
      </c>
      <c r="D63" s="118"/>
      <c r="E63" s="109">
        <v>1877</v>
      </c>
      <c r="F63" s="118"/>
      <c r="G63" s="109">
        <v>1957</v>
      </c>
      <c r="H63" s="119"/>
      <c r="I63" s="110"/>
      <c r="J63" s="108">
        <v>482</v>
      </c>
      <c r="K63" s="109">
        <v>1008</v>
      </c>
      <c r="L63" s="118"/>
      <c r="M63" s="109">
        <v>2166</v>
      </c>
      <c r="N63" s="118"/>
      <c r="O63" s="109">
        <v>3142</v>
      </c>
      <c r="P63" s="119"/>
      <c r="Q63" s="110"/>
      <c r="R63" s="108">
        <v>362</v>
      </c>
      <c r="S63" s="109">
        <v>399</v>
      </c>
      <c r="T63" s="118"/>
      <c r="U63" s="109">
        <v>400</v>
      </c>
      <c r="V63" s="118"/>
      <c r="W63" s="109">
        <v>901</v>
      </c>
      <c r="X63" s="119"/>
      <c r="Y63" s="110"/>
      <c r="Z63" s="108">
        <v>669</v>
      </c>
      <c r="AA63" s="109">
        <v>972</v>
      </c>
      <c r="AB63" s="118"/>
      <c r="AC63" s="109">
        <v>1196</v>
      </c>
      <c r="AD63" s="118"/>
      <c r="AE63" s="109">
        <v>1589</v>
      </c>
      <c r="AF63" s="119"/>
      <c r="AG63" s="110"/>
      <c r="AH63" s="108">
        <v>106</v>
      </c>
      <c r="AI63" s="109">
        <v>1098</v>
      </c>
      <c r="AJ63" s="118"/>
      <c r="AK63" s="109">
        <v>1383</v>
      </c>
      <c r="AL63" s="118"/>
      <c r="AM63" s="109">
        <v>2148</v>
      </c>
      <c r="AN63" s="119"/>
      <c r="AO63" s="110"/>
      <c r="AP63" s="172">
        <v>36</v>
      </c>
      <c r="AQ63" s="103">
        <v>291</v>
      </c>
      <c r="AR63" s="118"/>
      <c r="AS63" s="103">
        <v>209</v>
      </c>
      <c r="AT63" s="119"/>
    </row>
    <row r="64" spans="1:46" s="100" customFormat="1" ht="7.5" customHeight="1" x14ac:dyDescent="0.25">
      <c r="A64" s="88"/>
      <c r="B64" s="108"/>
      <c r="C64" s="118"/>
      <c r="D64" s="118"/>
      <c r="E64" s="109"/>
      <c r="F64" s="118"/>
      <c r="G64" s="118"/>
      <c r="H64" s="119"/>
      <c r="I64" s="110"/>
      <c r="J64" s="108"/>
      <c r="K64" s="118"/>
      <c r="L64" s="118"/>
      <c r="M64" s="109"/>
      <c r="N64" s="118"/>
      <c r="O64" s="118"/>
      <c r="P64" s="119"/>
      <c r="Q64" s="110"/>
      <c r="R64" s="108"/>
      <c r="S64" s="118"/>
      <c r="T64" s="118"/>
      <c r="U64" s="109"/>
      <c r="V64" s="118"/>
      <c r="W64" s="118"/>
      <c r="X64" s="119"/>
      <c r="Y64" s="110"/>
      <c r="Z64" s="108"/>
      <c r="AA64" s="118"/>
      <c r="AB64" s="118"/>
      <c r="AC64" s="109"/>
      <c r="AD64" s="118"/>
      <c r="AE64" s="118"/>
      <c r="AF64" s="119"/>
      <c r="AG64" s="110"/>
      <c r="AH64" s="108"/>
      <c r="AI64" s="118"/>
      <c r="AJ64" s="118"/>
      <c r="AK64" s="109"/>
      <c r="AL64" s="118"/>
      <c r="AM64" s="118"/>
      <c r="AN64" s="119"/>
      <c r="AO64" s="110"/>
      <c r="AP64" s="172"/>
      <c r="AQ64" s="118"/>
      <c r="AR64" s="118"/>
      <c r="AS64" s="118"/>
      <c r="AT64" s="119"/>
    </row>
    <row r="65" spans="1:46" s="100" customFormat="1" x14ac:dyDescent="0.25">
      <c r="A65" s="121" t="s">
        <v>67</v>
      </c>
      <c r="B65" s="108"/>
      <c r="C65" s="109"/>
      <c r="D65" s="118"/>
      <c r="E65" s="109"/>
      <c r="F65" s="118"/>
      <c r="G65" s="109"/>
      <c r="H65" s="119"/>
      <c r="I65" s="110"/>
      <c r="J65" s="108"/>
      <c r="K65" s="109"/>
      <c r="L65" s="118"/>
      <c r="M65" s="109"/>
      <c r="N65" s="118"/>
      <c r="O65" s="109"/>
      <c r="P65" s="119"/>
      <c r="Q65" s="110"/>
      <c r="R65" s="108"/>
      <c r="S65" s="109"/>
      <c r="T65" s="118"/>
      <c r="U65" s="109"/>
      <c r="V65" s="118"/>
      <c r="W65" s="109"/>
      <c r="X65" s="119"/>
      <c r="Y65" s="110"/>
      <c r="Z65" s="108"/>
      <c r="AA65" s="109"/>
      <c r="AB65" s="118"/>
      <c r="AC65" s="109"/>
      <c r="AD65" s="118"/>
      <c r="AE65" s="109"/>
      <c r="AF65" s="119"/>
      <c r="AG65" s="110"/>
      <c r="AH65" s="108"/>
      <c r="AI65" s="109"/>
      <c r="AJ65" s="118"/>
      <c r="AK65" s="109"/>
      <c r="AL65" s="118"/>
      <c r="AM65" s="109"/>
      <c r="AN65" s="119"/>
      <c r="AO65" s="110"/>
      <c r="AP65" s="172"/>
      <c r="AQ65" s="103"/>
      <c r="AR65" s="118"/>
      <c r="AS65" s="103"/>
      <c r="AT65" s="119"/>
    </row>
    <row r="66" spans="1:46" s="100" customFormat="1" x14ac:dyDescent="0.25">
      <c r="A66" s="88" t="s">
        <v>68</v>
      </c>
      <c r="B66" s="146"/>
      <c r="C66" s="125"/>
      <c r="D66" s="123"/>
      <c r="E66" s="125"/>
      <c r="F66" s="123"/>
      <c r="G66" s="125"/>
      <c r="H66" s="147"/>
      <c r="I66" s="148"/>
      <c r="J66" s="146"/>
      <c r="K66" s="125"/>
      <c r="L66" s="123"/>
      <c r="M66" s="125"/>
      <c r="N66" s="123"/>
      <c r="O66" s="125">
        <v>0.76200000000000001</v>
      </c>
      <c r="P66" s="147"/>
      <c r="Q66" s="148"/>
      <c r="R66" s="146"/>
      <c r="S66" s="125"/>
      <c r="T66" s="123"/>
      <c r="U66" s="125"/>
      <c r="V66" s="123"/>
      <c r="W66" s="125">
        <v>0.76200000000000001</v>
      </c>
      <c r="X66" s="147"/>
      <c r="Y66" s="148"/>
      <c r="Z66" s="146"/>
      <c r="AA66" s="125"/>
      <c r="AB66" s="123"/>
      <c r="AC66" s="125"/>
      <c r="AD66" s="123"/>
      <c r="AE66" s="125">
        <v>0.66400000000000003</v>
      </c>
      <c r="AF66" s="147"/>
      <c r="AG66" s="148"/>
      <c r="AH66" s="146"/>
      <c r="AI66" s="125"/>
      <c r="AJ66" s="123"/>
      <c r="AK66" s="125"/>
      <c r="AL66" s="123"/>
      <c r="AM66" s="125">
        <v>0.96499999999999997</v>
      </c>
      <c r="AN66" s="147"/>
      <c r="AO66" s="148"/>
      <c r="AP66" s="146"/>
      <c r="AQ66" s="123"/>
      <c r="AR66" s="123"/>
      <c r="AS66" s="125">
        <v>0.96099999999999997</v>
      </c>
      <c r="AT66" s="147"/>
    </row>
    <row r="67" spans="1:46" s="100" customFormat="1" ht="15.75" thickBot="1" x14ac:dyDescent="0.3">
      <c r="A67" s="127" t="s">
        <v>69</v>
      </c>
      <c r="B67" s="150"/>
      <c r="C67" s="136"/>
      <c r="D67" s="130"/>
      <c r="E67" s="136"/>
      <c r="F67" s="130"/>
      <c r="G67" s="136"/>
      <c r="H67" s="151"/>
      <c r="I67" s="130"/>
      <c r="J67" s="150"/>
      <c r="K67" s="136"/>
      <c r="L67" s="130"/>
      <c r="M67" s="136"/>
      <c r="N67" s="130"/>
      <c r="O67" s="136">
        <v>0.68500000000000005</v>
      </c>
      <c r="P67" s="151"/>
      <c r="Q67" s="130"/>
      <c r="R67" s="150"/>
      <c r="S67" s="136"/>
      <c r="T67" s="130"/>
      <c r="U67" s="136"/>
      <c r="V67" s="130"/>
      <c r="W67" s="136">
        <v>0.69399999999999995</v>
      </c>
      <c r="X67" s="151"/>
      <c r="Y67" s="130"/>
      <c r="Z67" s="150"/>
      <c r="AA67" s="136"/>
      <c r="AB67" s="130"/>
      <c r="AC67" s="136"/>
      <c r="AD67" s="130"/>
      <c r="AE67" s="136">
        <v>0.624</v>
      </c>
      <c r="AF67" s="151"/>
      <c r="AG67" s="130"/>
      <c r="AH67" s="150"/>
      <c r="AI67" s="136"/>
      <c r="AJ67" s="130"/>
      <c r="AK67" s="136"/>
      <c r="AL67" s="130"/>
      <c r="AM67" s="136"/>
      <c r="AN67" s="151"/>
      <c r="AO67" s="130"/>
      <c r="AP67" s="150"/>
      <c r="AQ67" s="130"/>
      <c r="AR67" s="130"/>
      <c r="AS67" s="136"/>
      <c r="AT67" s="151"/>
    </row>
  </sheetData>
  <pageMargins left="0.7" right="0.7" top="0.75" bottom="0.75" header="0.3" footer="0.3"/>
  <pageSetup scale="20"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59999389629810485"/>
  </sheetPr>
  <dimension ref="A1:F60"/>
  <sheetViews>
    <sheetView workbookViewId="0"/>
  </sheetViews>
  <sheetFormatPr defaultColWidth="9.140625" defaultRowHeight="15" outlineLevelRow="1" x14ac:dyDescent="0.25"/>
  <cols>
    <col min="1" max="1" width="40.140625" style="95" customWidth="1"/>
    <col min="2" max="2" width="8" style="95" customWidth="1"/>
    <col min="3" max="3" width="9" style="95" customWidth="1"/>
    <col min="4" max="4" width="10.5703125" style="95" customWidth="1"/>
    <col min="5" max="5" width="10.28515625" style="95" customWidth="1"/>
    <col min="6" max="6" width="12.5703125" style="95" customWidth="1"/>
    <col min="7" max="16384" width="9.140625" style="95"/>
  </cols>
  <sheetData>
    <row r="1" spans="1:6" x14ac:dyDescent="0.25">
      <c r="A1" s="202" t="s">
        <v>41</v>
      </c>
      <c r="B1" s="79">
        <v>72.599999999999994</v>
      </c>
      <c r="C1" s="92"/>
      <c r="D1" s="92"/>
      <c r="E1" s="92"/>
      <c r="F1" s="92"/>
    </row>
    <row r="2" spans="1:6" x14ac:dyDescent="0.25">
      <c r="A2" s="42" t="s">
        <v>42</v>
      </c>
      <c r="B2" s="206">
        <v>20.399999999999999</v>
      </c>
      <c r="C2" s="77"/>
      <c r="D2" s="77"/>
      <c r="E2" s="77"/>
      <c r="F2" s="77"/>
    </row>
    <row r="3" spans="1:6" x14ac:dyDescent="0.25">
      <c r="A3" s="42" t="s">
        <v>43</v>
      </c>
      <c r="B3" s="206">
        <v>5.7</v>
      </c>
      <c r="C3" s="77"/>
      <c r="D3" s="77"/>
      <c r="E3" s="77"/>
      <c r="F3" s="77"/>
    </row>
    <row r="4" spans="1:6" s="100" customFormat="1" ht="15" customHeight="1" x14ac:dyDescent="0.25">
      <c r="A4" s="42" t="s">
        <v>44</v>
      </c>
      <c r="B4" s="206">
        <v>46.5</v>
      </c>
      <c r="C4" s="97"/>
      <c r="D4" s="97"/>
      <c r="E4" s="97"/>
      <c r="F4" s="97"/>
    </row>
    <row r="5" spans="1:6" s="100" customFormat="1" ht="15" customHeight="1" x14ac:dyDescent="0.25">
      <c r="A5" s="42"/>
      <c r="B5" s="206"/>
      <c r="C5" s="97"/>
      <c r="D5" s="97"/>
      <c r="E5" s="97"/>
      <c r="F5" s="97"/>
    </row>
    <row r="6" spans="1:6" s="100" customFormat="1" x14ac:dyDescent="0.25">
      <c r="A6" s="5" t="s">
        <v>136</v>
      </c>
      <c r="B6" s="207">
        <f>B7+B8</f>
        <v>117.9</v>
      </c>
      <c r="C6" s="103"/>
      <c r="D6" s="103"/>
      <c r="E6" s="103"/>
      <c r="F6" s="103"/>
    </row>
    <row r="7" spans="1:6" x14ac:dyDescent="0.25">
      <c r="A7" s="5" t="s">
        <v>119</v>
      </c>
      <c r="B7" s="206">
        <v>50.5</v>
      </c>
      <c r="C7" s="105"/>
      <c r="D7" s="105"/>
      <c r="E7" s="105"/>
      <c r="F7" s="105"/>
    </row>
    <row r="8" spans="1:6" x14ac:dyDescent="0.25">
      <c r="A8" s="5" t="s">
        <v>120</v>
      </c>
      <c r="B8" s="206">
        <v>67.400000000000006</v>
      </c>
      <c r="C8" s="105"/>
      <c r="D8" s="105"/>
      <c r="E8" s="105"/>
      <c r="F8" s="105"/>
    </row>
    <row r="9" spans="1:6" x14ac:dyDescent="0.25">
      <c r="A9" s="5"/>
      <c r="B9" s="206"/>
      <c r="C9" s="105"/>
      <c r="D9" s="105"/>
      <c r="E9" s="105"/>
      <c r="F9" s="105"/>
    </row>
    <row r="10" spans="1:6" ht="15.75" thickBot="1" x14ac:dyDescent="0.3">
      <c r="A10" s="15" t="s">
        <v>116</v>
      </c>
      <c r="B10" s="208">
        <v>35.799999999999997</v>
      </c>
      <c r="C10" s="105"/>
      <c r="D10" s="105"/>
      <c r="E10" s="105"/>
      <c r="F10" s="105"/>
    </row>
    <row r="11" spans="1:6" x14ac:dyDescent="0.25">
      <c r="A11" s="5"/>
      <c r="B11" s="210"/>
      <c r="C11" s="105"/>
      <c r="D11" s="105"/>
      <c r="E11" s="105"/>
      <c r="F11" s="105"/>
    </row>
    <row r="12" spans="1:6" x14ac:dyDescent="0.25">
      <c r="A12" s="5"/>
      <c r="B12" s="210"/>
      <c r="C12" s="105"/>
      <c r="D12" s="105"/>
      <c r="E12" s="105"/>
      <c r="F12" s="105"/>
    </row>
    <row r="13" spans="1:6" ht="15.75" thickBot="1" x14ac:dyDescent="0.3">
      <c r="A13" s="5"/>
      <c r="B13" s="105"/>
      <c r="C13" s="105"/>
      <c r="D13" s="105"/>
      <c r="E13" s="105"/>
      <c r="F13" s="105"/>
    </row>
    <row r="14" spans="1:6" ht="15.75" thickBot="1" x14ac:dyDescent="0.3">
      <c r="A14" s="42"/>
      <c r="B14" s="264">
        <v>2006</v>
      </c>
      <c r="C14" s="265"/>
      <c r="D14" s="265"/>
      <c r="E14" s="265"/>
      <c r="F14" s="266"/>
    </row>
    <row r="15" spans="1:6" s="158" customFormat="1" x14ac:dyDescent="0.25">
      <c r="A15" s="114"/>
      <c r="B15" s="153" t="s">
        <v>5</v>
      </c>
      <c r="C15" s="97" t="s">
        <v>6</v>
      </c>
      <c r="D15" s="97" t="s">
        <v>7</v>
      </c>
      <c r="E15" s="97" t="s">
        <v>8</v>
      </c>
      <c r="F15" s="99" t="s">
        <v>9</v>
      </c>
    </row>
    <row r="16" spans="1:6" x14ac:dyDescent="0.25">
      <c r="A16" s="42"/>
      <c r="B16" s="107"/>
      <c r="C16" s="105"/>
      <c r="D16" s="105"/>
      <c r="E16" s="105"/>
      <c r="F16" s="106"/>
    </row>
    <row r="17" spans="1:6" s="100" customFormat="1" x14ac:dyDescent="0.25">
      <c r="A17" s="88" t="s">
        <v>10</v>
      </c>
      <c r="B17" s="108">
        <v>14489</v>
      </c>
      <c r="C17" s="103">
        <v>24764</v>
      </c>
      <c r="D17" s="103">
        <v>39253</v>
      </c>
      <c r="E17" s="103">
        <v>33063</v>
      </c>
      <c r="F17" s="104">
        <v>72316</v>
      </c>
    </row>
    <row r="18" spans="1:6" s="100" customFormat="1" x14ac:dyDescent="0.25">
      <c r="A18" s="88" t="s">
        <v>11</v>
      </c>
      <c r="B18" s="108">
        <v>9587</v>
      </c>
      <c r="C18" s="103">
        <v>17972</v>
      </c>
      <c r="D18" s="103">
        <v>27559</v>
      </c>
      <c r="E18" s="103">
        <v>23079</v>
      </c>
      <c r="F18" s="104">
        <v>50638</v>
      </c>
    </row>
    <row r="19" spans="1:6" s="100" customFormat="1" x14ac:dyDescent="0.25">
      <c r="A19" s="88" t="s">
        <v>12</v>
      </c>
      <c r="B19" s="108">
        <v>4902</v>
      </c>
      <c r="C19" s="103">
        <v>6792</v>
      </c>
      <c r="D19" s="103">
        <v>11694</v>
      </c>
      <c r="E19" s="103">
        <v>9984</v>
      </c>
      <c r="F19" s="104">
        <v>21678</v>
      </c>
    </row>
    <row r="20" spans="1:6" outlineLevel="1" x14ac:dyDescent="0.25">
      <c r="A20" s="42" t="s">
        <v>13</v>
      </c>
      <c r="B20" s="107">
        <v>1970</v>
      </c>
      <c r="C20" s="105">
        <v>2736</v>
      </c>
      <c r="D20" s="105">
        <v>4706</v>
      </c>
      <c r="E20" s="105">
        <v>3069</v>
      </c>
      <c r="F20" s="106">
        <v>7775</v>
      </c>
    </row>
    <row r="21" spans="1:6" outlineLevel="1" x14ac:dyDescent="0.25">
      <c r="A21" s="42" t="s">
        <v>14</v>
      </c>
      <c r="B21" s="107">
        <v>97</v>
      </c>
      <c r="C21" s="105">
        <v>144</v>
      </c>
      <c r="D21" s="105">
        <v>241</v>
      </c>
      <c r="E21" s="105">
        <v>158</v>
      </c>
      <c r="F21" s="106">
        <v>399</v>
      </c>
    </row>
    <row r="22" spans="1:6" ht="17.25" customHeight="1" outlineLevel="1" x14ac:dyDescent="0.25">
      <c r="A22" s="42" t="s">
        <v>15</v>
      </c>
      <c r="B22" s="107">
        <v>45</v>
      </c>
      <c r="C22" s="105">
        <v>90</v>
      </c>
      <c r="D22" s="105">
        <v>135</v>
      </c>
      <c r="E22" s="105">
        <v>30</v>
      </c>
      <c r="F22" s="106">
        <v>165</v>
      </c>
    </row>
    <row r="23" spans="1:6" ht="15" customHeight="1" outlineLevel="1" x14ac:dyDescent="0.25">
      <c r="A23" s="42" t="s">
        <v>16</v>
      </c>
      <c r="B23" s="107">
        <v>0</v>
      </c>
      <c r="C23" s="105">
        <v>0</v>
      </c>
      <c r="D23" s="105">
        <v>0</v>
      </c>
      <c r="E23" s="105">
        <v>0</v>
      </c>
      <c r="F23" s="106"/>
    </row>
    <row r="24" spans="1:6" s="100" customFormat="1" x14ac:dyDescent="0.25">
      <c r="A24" s="88" t="s">
        <v>17</v>
      </c>
      <c r="B24" s="108">
        <v>2790</v>
      </c>
      <c r="C24" s="103">
        <v>3822</v>
      </c>
      <c r="D24" s="103">
        <v>6612</v>
      </c>
      <c r="E24" s="105">
        <v>6727</v>
      </c>
      <c r="F24" s="104">
        <v>13339</v>
      </c>
    </row>
    <row r="25" spans="1:6" ht="15" customHeight="1" outlineLevel="1" x14ac:dyDescent="0.25">
      <c r="A25" s="42" t="s">
        <v>18</v>
      </c>
      <c r="B25" s="107">
        <v>-165</v>
      </c>
      <c r="C25" s="103">
        <v>-30</v>
      </c>
      <c r="D25" s="105">
        <v>-195</v>
      </c>
      <c r="E25" s="105">
        <v>43</v>
      </c>
      <c r="F25" s="106">
        <v>-152</v>
      </c>
    </row>
    <row r="26" spans="1:6" ht="15" customHeight="1" outlineLevel="1" x14ac:dyDescent="0.25">
      <c r="A26" s="42" t="s">
        <v>19</v>
      </c>
      <c r="B26" s="107">
        <v>-23</v>
      </c>
      <c r="C26" s="103">
        <v>-4</v>
      </c>
      <c r="D26" s="105">
        <v>-27</v>
      </c>
      <c r="E26" s="105">
        <v>-3</v>
      </c>
      <c r="F26" s="106">
        <v>-30</v>
      </c>
    </row>
    <row r="27" spans="1:6" ht="15" customHeight="1" outlineLevel="1" x14ac:dyDescent="0.25">
      <c r="A27" s="42" t="s">
        <v>20</v>
      </c>
      <c r="B27" s="107">
        <v>587</v>
      </c>
      <c r="C27" s="103">
        <v>1211</v>
      </c>
      <c r="D27" s="105">
        <v>1798</v>
      </c>
      <c r="E27" s="105">
        <v>1400</v>
      </c>
      <c r="F27" s="106">
        <v>3198</v>
      </c>
    </row>
    <row r="28" spans="1:6" ht="17.25" customHeight="1" outlineLevel="1" x14ac:dyDescent="0.4">
      <c r="A28" s="42" t="s">
        <v>21</v>
      </c>
      <c r="B28" s="111">
        <v>790</v>
      </c>
      <c r="C28" s="112">
        <v>989</v>
      </c>
      <c r="D28" s="112">
        <v>1779</v>
      </c>
      <c r="E28" s="112">
        <v>1612</v>
      </c>
      <c r="F28" s="113">
        <v>3391</v>
      </c>
    </row>
    <row r="29" spans="1:6" s="100" customFormat="1" x14ac:dyDescent="0.25">
      <c r="A29" s="88" t="s">
        <v>24</v>
      </c>
      <c r="B29" s="108">
        <v>1601</v>
      </c>
      <c r="C29" s="103">
        <v>1656</v>
      </c>
      <c r="D29" s="103">
        <v>3257</v>
      </c>
      <c r="E29" s="105">
        <v>3675</v>
      </c>
      <c r="F29" s="104">
        <v>6932</v>
      </c>
    </row>
    <row r="30" spans="1:6" ht="15" customHeight="1" outlineLevel="1" x14ac:dyDescent="0.25">
      <c r="A30" s="114" t="s">
        <v>54</v>
      </c>
      <c r="B30" s="170"/>
      <c r="C30" s="116"/>
      <c r="D30" s="105"/>
      <c r="E30" s="116"/>
      <c r="F30" s="117"/>
    </row>
    <row r="31" spans="1:6" ht="15" customHeight="1" outlineLevel="1" x14ac:dyDescent="0.25">
      <c r="A31" s="42" t="s">
        <v>21</v>
      </c>
      <c r="B31" s="107">
        <v>790</v>
      </c>
      <c r="C31" s="105">
        <v>989</v>
      </c>
      <c r="D31" s="105">
        <v>1779</v>
      </c>
      <c r="E31" s="105">
        <v>1612</v>
      </c>
      <c r="F31" s="106">
        <v>3391</v>
      </c>
    </row>
    <row r="32" spans="1:6" ht="15" customHeight="1" outlineLevel="1" x14ac:dyDescent="0.25">
      <c r="A32" s="42" t="s">
        <v>19</v>
      </c>
      <c r="B32" s="107">
        <v>-23</v>
      </c>
      <c r="C32" s="105">
        <v>-4</v>
      </c>
      <c r="D32" s="105">
        <v>-27</v>
      </c>
      <c r="E32" s="105">
        <v>-3</v>
      </c>
      <c r="F32" s="106">
        <v>-30</v>
      </c>
    </row>
    <row r="33" spans="1:6" ht="15" customHeight="1" outlineLevel="1" x14ac:dyDescent="0.25">
      <c r="A33" s="42" t="s">
        <v>20</v>
      </c>
      <c r="B33" s="107">
        <v>587</v>
      </c>
      <c r="C33" s="105">
        <v>1211</v>
      </c>
      <c r="D33" s="105">
        <v>1798</v>
      </c>
      <c r="E33" s="105">
        <v>1400</v>
      </c>
      <c r="F33" s="106">
        <v>3198</v>
      </c>
    </row>
    <row r="34" spans="1:6" ht="15" customHeight="1" outlineLevel="1" x14ac:dyDescent="0.25">
      <c r="A34" s="42" t="s">
        <v>55</v>
      </c>
      <c r="B34" s="107">
        <v>337</v>
      </c>
      <c r="C34" s="105">
        <v>542</v>
      </c>
      <c r="D34" s="105">
        <v>879</v>
      </c>
      <c r="E34" s="105">
        <v>167</v>
      </c>
      <c r="F34" s="117">
        <v>1046</v>
      </c>
    </row>
    <row r="35" spans="1:6" s="158" customFormat="1" ht="15" customHeight="1" outlineLevel="1" x14ac:dyDescent="0.25">
      <c r="A35" s="42" t="s">
        <v>56</v>
      </c>
      <c r="B35" s="195">
        <v>0</v>
      </c>
      <c r="C35" s="196">
        <v>0</v>
      </c>
      <c r="D35" s="155">
        <v>0</v>
      </c>
      <c r="E35" s="155">
        <v>0</v>
      </c>
      <c r="F35" s="191">
        <v>0</v>
      </c>
    </row>
    <row r="36" spans="1:6" s="100" customFormat="1" x14ac:dyDescent="0.25">
      <c r="A36" s="88" t="s">
        <v>57</v>
      </c>
      <c r="B36" s="108">
        <v>3292</v>
      </c>
      <c r="C36" s="103">
        <v>4394</v>
      </c>
      <c r="D36" s="103">
        <v>7686</v>
      </c>
      <c r="E36" s="103">
        <v>6851</v>
      </c>
      <c r="F36" s="104">
        <v>14537</v>
      </c>
    </row>
    <row r="37" spans="1:6" ht="15" customHeight="1" outlineLevel="1" x14ac:dyDescent="0.25">
      <c r="A37" s="42" t="s">
        <v>58</v>
      </c>
      <c r="B37" s="170">
        <v>0</v>
      </c>
      <c r="C37" s="103">
        <v>0</v>
      </c>
      <c r="D37" s="105">
        <v>0</v>
      </c>
      <c r="E37" s="103">
        <v>0</v>
      </c>
      <c r="F37" s="117">
        <v>0</v>
      </c>
    </row>
    <row r="38" spans="1:6" ht="15" customHeight="1" outlineLevel="1" x14ac:dyDescent="0.25">
      <c r="A38" s="42" t="s">
        <v>59</v>
      </c>
      <c r="B38" s="170">
        <v>0</v>
      </c>
      <c r="C38" s="103">
        <v>0</v>
      </c>
      <c r="D38" s="105">
        <v>0</v>
      </c>
      <c r="E38" s="103">
        <v>0</v>
      </c>
      <c r="F38" s="117">
        <v>0</v>
      </c>
    </row>
    <row r="39" spans="1:6" ht="15" customHeight="1" outlineLevel="1" x14ac:dyDescent="0.25">
      <c r="A39" s="42" t="s">
        <v>60</v>
      </c>
      <c r="B39" s="170">
        <v>0</v>
      </c>
      <c r="C39" s="103">
        <v>0</v>
      </c>
      <c r="D39" s="105">
        <v>0</v>
      </c>
      <c r="E39" s="103">
        <v>0</v>
      </c>
      <c r="F39" s="117">
        <v>0</v>
      </c>
    </row>
    <row r="40" spans="1:6" ht="15" customHeight="1" outlineLevel="1" x14ac:dyDescent="0.25">
      <c r="A40" s="42" t="s">
        <v>61</v>
      </c>
      <c r="B40" s="170">
        <v>0</v>
      </c>
      <c r="C40" s="103">
        <v>0</v>
      </c>
      <c r="D40" s="105">
        <v>0</v>
      </c>
      <c r="E40" s="103">
        <v>0</v>
      </c>
      <c r="F40" s="117">
        <v>0</v>
      </c>
    </row>
    <row r="41" spans="1:6" ht="15" customHeight="1" outlineLevel="1" x14ac:dyDescent="0.25">
      <c r="A41" s="42" t="s">
        <v>62</v>
      </c>
      <c r="B41" s="170">
        <v>0</v>
      </c>
      <c r="C41" s="103">
        <v>0</v>
      </c>
      <c r="D41" s="105">
        <v>0</v>
      </c>
      <c r="E41" s="103">
        <v>0</v>
      </c>
      <c r="F41" s="117">
        <v>0</v>
      </c>
    </row>
    <row r="42" spans="1:6" ht="15" customHeight="1" outlineLevel="1" x14ac:dyDescent="0.25">
      <c r="A42" s="42" t="s">
        <v>63</v>
      </c>
      <c r="B42" s="170">
        <v>0</v>
      </c>
      <c r="C42" s="103">
        <v>0</v>
      </c>
      <c r="D42" s="105">
        <v>0</v>
      </c>
      <c r="E42" s="103">
        <v>0</v>
      </c>
      <c r="F42" s="117">
        <v>0</v>
      </c>
    </row>
    <row r="43" spans="1:6" ht="15" customHeight="1" outlineLevel="1" x14ac:dyDescent="0.25">
      <c r="A43" s="42" t="s">
        <v>14</v>
      </c>
      <c r="B43" s="107">
        <v>97</v>
      </c>
      <c r="C43" s="105">
        <v>144</v>
      </c>
      <c r="D43" s="105">
        <v>241</v>
      </c>
      <c r="E43" s="105">
        <v>158</v>
      </c>
      <c r="F43" s="106">
        <v>399</v>
      </c>
    </row>
    <row r="44" spans="1:6" ht="17.25" customHeight="1" outlineLevel="1" x14ac:dyDescent="0.4">
      <c r="A44" s="42" t="s">
        <v>34</v>
      </c>
      <c r="B44" s="111">
        <v>-165</v>
      </c>
      <c r="C44" s="112">
        <v>165</v>
      </c>
      <c r="D44" s="112">
        <v>0</v>
      </c>
      <c r="E44" s="112">
        <v>-62</v>
      </c>
      <c r="F44" s="113">
        <v>-62</v>
      </c>
    </row>
    <row r="45" spans="1:6" s="100" customFormat="1" x14ac:dyDescent="0.25">
      <c r="A45" s="88" t="s">
        <v>65</v>
      </c>
      <c r="B45" s="108">
        <v>3224</v>
      </c>
      <c r="C45" s="103">
        <v>4703</v>
      </c>
      <c r="D45" s="103">
        <v>7927</v>
      </c>
      <c r="E45" s="103">
        <v>6947</v>
      </c>
      <c r="F45" s="104">
        <v>14874</v>
      </c>
    </row>
    <row r="46" spans="1:6" x14ac:dyDescent="0.25">
      <c r="A46" s="42"/>
      <c r="B46" s="171"/>
      <c r="C46" s="110"/>
      <c r="D46" s="110"/>
      <c r="E46" s="110"/>
      <c r="F46" s="120"/>
    </row>
    <row r="47" spans="1:6" x14ac:dyDescent="0.25">
      <c r="A47" s="42"/>
      <c r="B47" s="171"/>
      <c r="C47" s="110"/>
      <c r="D47" s="110"/>
      <c r="E47" s="110"/>
      <c r="F47" s="120"/>
    </row>
    <row r="48" spans="1:6" s="100" customFormat="1" x14ac:dyDescent="0.25">
      <c r="A48" s="88" t="s">
        <v>25</v>
      </c>
      <c r="B48" s="172">
        <v>92181</v>
      </c>
      <c r="C48" s="118">
        <v>98876</v>
      </c>
      <c r="D48" s="118"/>
      <c r="E48" s="103">
        <v>102591</v>
      </c>
      <c r="F48" s="119"/>
    </row>
    <row r="49" spans="1:6" s="100" customFormat="1" ht="7.5" customHeight="1" x14ac:dyDescent="0.25">
      <c r="A49" s="88"/>
      <c r="B49" s="172"/>
      <c r="C49" s="118"/>
      <c r="D49" s="118"/>
      <c r="E49" s="118"/>
      <c r="F49" s="119"/>
    </row>
    <row r="50" spans="1:6" ht="15" customHeight="1" outlineLevel="1" x14ac:dyDescent="0.25">
      <c r="A50" s="42" t="s">
        <v>26</v>
      </c>
      <c r="B50" s="107">
        <v>44275</v>
      </c>
      <c r="C50" s="105">
        <v>45691</v>
      </c>
      <c r="D50" s="105"/>
      <c r="E50" s="105">
        <v>46684</v>
      </c>
      <c r="F50" s="106"/>
    </row>
    <row r="51" spans="1:6" ht="15" customHeight="1" outlineLevel="1" x14ac:dyDescent="0.25">
      <c r="A51" s="42" t="s">
        <v>28</v>
      </c>
      <c r="B51" s="107">
        <v>19317</v>
      </c>
      <c r="C51" s="105">
        <v>22959</v>
      </c>
      <c r="D51" s="105"/>
      <c r="E51" s="105">
        <v>22024</v>
      </c>
      <c r="F51" s="106"/>
    </row>
    <row r="52" spans="1:6" s="100" customFormat="1" x14ac:dyDescent="0.25">
      <c r="A52" s="88" t="s">
        <v>29</v>
      </c>
      <c r="B52" s="108">
        <v>63592</v>
      </c>
      <c r="C52" s="103">
        <v>68650</v>
      </c>
      <c r="D52" s="103"/>
      <c r="E52" s="103">
        <v>68708</v>
      </c>
      <c r="F52" s="104"/>
    </row>
    <row r="53" spans="1:6" s="100" customFormat="1" ht="9" customHeight="1" x14ac:dyDescent="0.25">
      <c r="A53" s="88"/>
      <c r="B53" s="108"/>
      <c r="C53" s="103"/>
      <c r="D53" s="103"/>
      <c r="E53" s="118"/>
      <c r="F53" s="104"/>
    </row>
    <row r="54" spans="1:6" s="100" customFormat="1" x14ac:dyDescent="0.25">
      <c r="A54" s="88" t="s">
        <v>36</v>
      </c>
      <c r="B54" s="108">
        <v>28589</v>
      </c>
      <c r="C54" s="103">
        <v>30226</v>
      </c>
      <c r="D54" s="103"/>
      <c r="E54" s="103">
        <v>33883</v>
      </c>
      <c r="F54" s="104"/>
    </row>
    <row r="55" spans="1:6" ht="7.5" customHeight="1" x14ac:dyDescent="0.25">
      <c r="A55" s="42"/>
      <c r="B55" s="170"/>
      <c r="C55" s="116"/>
      <c r="D55" s="116"/>
      <c r="E55" s="116"/>
      <c r="F55" s="117"/>
    </row>
    <row r="56" spans="1:6" s="100" customFormat="1" x14ac:dyDescent="0.25">
      <c r="A56" s="88" t="s">
        <v>66</v>
      </c>
      <c r="B56" s="172"/>
      <c r="C56" s="103"/>
      <c r="D56" s="118"/>
      <c r="E56" s="103"/>
      <c r="F56" s="119"/>
    </row>
    <row r="57" spans="1:6" s="100" customFormat="1" ht="7.5" customHeight="1" x14ac:dyDescent="0.25">
      <c r="A57" s="88"/>
      <c r="B57" s="172"/>
      <c r="C57" s="118"/>
      <c r="D57" s="118"/>
      <c r="E57" s="118"/>
      <c r="F57" s="119"/>
    </row>
    <row r="58" spans="1:6" s="100" customFormat="1" x14ac:dyDescent="0.25">
      <c r="A58" s="121" t="s">
        <v>67</v>
      </c>
      <c r="B58" s="172">
        <v>585</v>
      </c>
      <c r="C58" s="103">
        <v>1477</v>
      </c>
      <c r="D58" s="118"/>
      <c r="E58" s="103">
        <v>1946</v>
      </c>
      <c r="F58" s="119"/>
    </row>
    <row r="59" spans="1:6" s="100" customFormat="1" x14ac:dyDescent="0.25">
      <c r="A59" s="88" t="s">
        <v>68</v>
      </c>
      <c r="B59" s="146"/>
      <c r="C59" s="123"/>
      <c r="D59" s="123"/>
      <c r="E59" s="125"/>
      <c r="F59" s="147"/>
    </row>
    <row r="60" spans="1:6" s="100" customFormat="1" ht="15.75" thickBot="1" x14ac:dyDescent="0.3">
      <c r="A60" s="127" t="s">
        <v>69</v>
      </c>
      <c r="B60" s="150"/>
      <c r="C60" s="130"/>
      <c r="D60" s="130"/>
      <c r="E60" s="136"/>
      <c r="F60" s="151"/>
    </row>
  </sheetData>
  <pageMargins left="0.7" right="0.7" top="0.75" bottom="0.75" header="0.3" footer="0.3"/>
  <pageSetup scale="77"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59999389629810485"/>
  </sheetPr>
  <dimension ref="A1:AV65"/>
  <sheetViews>
    <sheetView workbookViewId="0"/>
  </sheetViews>
  <sheetFormatPr defaultColWidth="9.140625" defaultRowHeight="15" outlineLevelRow="1" outlineLevelCol="1" x14ac:dyDescent="0.25"/>
  <cols>
    <col min="1" max="1" width="45.5703125" style="4" customWidth="1"/>
    <col min="2" max="3" width="9" style="4" customWidth="1"/>
    <col min="4" max="4" width="8" style="4" hidden="1" customWidth="1" outlineLevel="1"/>
    <col min="5" max="5" width="9" style="4" customWidth="1" collapsed="1"/>
    <col min="6" max="6" width="9" style="4" hidden="1" customWidth="1" outlineLevel="1"/>
    <col min="7" max="7" width="9" style="4" customWidth="1" collapsed="1"/>
    <col min="8" max="8" width="9" style="4" customWidth="1"/>
    <col min="9" max="9" width="3" style="4" customWidth="1"/>
    <col min="10" max="11" width="9" style="4" customWidth="1"/>
    <col min="12" max="12" width="8" style="4" hidden="1" customWidth="1" outlineLevel="1"/>
    <col min="13" max="13" width="9" style="4" customWidth="1" collapsed="1"/>
    <col min="14" max="14" width="9" style="4" hidden="1" customWidth="1" outlineLevel="1"/>
    <col min="15" max="15" width="9" style="4" customWidth="1" collapsed="1"/>
    <col min="16" max="16" width="9" style="4" customWidth="1"/>
    <col min="17" max="17" width="3" style="4" customWidth="1"/>
    <col min="18" max="19" width="9" style="4" customWidth="1"/>
    <col min="20" max="20" width="8" style="4" hidden="1" customWidth="1" outlineLevel="1"/>
    <col min="21" max="21" width="9" style="4" customWidth="1" collapsed="1"/>
    <col min="22" max="22" width="9" style="4" hidden="1" customWidth="1" outlineLevel="1"/>
    <col min="23" max="23" width="9" style="4" customWidth="1" collapsed="1"/>
    <col min="24" max="24" width="9" style="4" customWidth="1"/>
    <col min="25" max="25" width="3" style="4" customWidth="1"/>
    <col min="26" max="27" width="9" style="4" customWidth="1"/>
    <col min="28" max="28" width="8" style="4" hidden="1" customWidth="1" outlineLevel="1"/>
    <col min="29" max="29" width="9" style="4" customWidth="1" collapsed="1"/>
    <col min="30" max="30" width="9" style="4" hidden="1" customWidth="1" outlineLevel="1"/>
    <col min="31" max="31" width="9" style="4" customWidth="1" collapsed="1"/>
    <col min="32" max="32" width="9" style="4" customWidth="1"/>
    <col min="33" max="33" width="3" style="4" customWidth="1"/>
    <col min="34" max="35" width="9" style="4" customWidth="1"/>
    <col min="36" max="36" width="8" style="4" hidden="1" customWidth="1" outlineLevel="1"/>
    <col min="37" max="37" width="9" style="4" customWidth="1" collapsed="1"/>
    <col min="38" max="38" width="9" style="4" hidden="1" customWidth="1" outlineLevel="1"/>
    <col min="39" max="39" width="9" style="4" customWidth="1" collapsed="1"/>
    <col min="40" max="40" width="9" style="4" customWidth="1"/>
    <col min="41" max="41" width="3" style="4" customWidth="1"/>
    <col min="42" max="43" width="9" style="4" customWidth="1"/>
    <col min="44" max="44" width="9" style="4" hidden="1" customWidth="1" outlineLevel="1"/>
    <col min="45" max="45" width="9" style="4" customWidth="1" collapsed="1"/>
    <col min="46" max="46" width="9" style="4" hidden="1" customWidth="1" outlineLevel="1"/>
    <col min="47" max="47" width="9" style="4" customWidth="1" collapsed="1"/>
    <col min="48" max="48" width="9" style="4" customWidth="1"/>
    <col min="49" max="16384" width="9.140625" style="4"/>
  </cols>
  <sheetData>
    <row r="1" spans="1:48" x14ac:dyDescent="0.25">
      <c r="A1" s="202" t="s">
        <v>117</v>
      </c>
      <c r="B1" s="79">
        <v>62.3</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1:48" x14ac:dyDescent="0.25">
      <c r="A2" s="42" t="s">
        <v>42</v>
      </c>
      <c r="B2" s="206">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row>
    <row r="3" spans="1:48" ht="15" customHeight="1" x14ac:dyDescent="0.25">
      <c r="A3" s="42" t="s">
        <v>43</v>
      </c>
      <c r="B3" s="206">
        <v>2.8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row>
    <row r="4" spans="1:48" s="14" customFormat="1" ht="15" customHeight="1" x14ac:dyDescent="0.25">
      <c r="A4" s="42" t="s">
        <v>44</v>
      </c>
      <c r="B4" s="206">
        <v>41.5</v>
      </c>
      <c r="C4" s="10"/>
      <c r="D4" s="10"/>
      <c r="E4" s="10"/>
      <c r="F4" s="10"/>
      <c r="G4" s="10"/>
      <c r="H4" s="10"/>
      <c r="I4" s="12"/>
      <c r="J4" s="10"/>
      <c r="K4" s="10"/>
      <c r="L4" s="10"/>
      <c r="M4" s="10"/>
      <c r="N4" s="12"/>
      <c r="O4" s="10"/>
      <c r="P4" s="10"/>
      <c r="Q4" s="12"/>
      <c r="R4" s="10"/>
      <c r="S4" s="10"/>
      <c r="T4" s="10"/>
      <c r="U4" s="10"/>
      <c r="V4" s="12"/>
      <c r="W4" s="10"/>
      <c r="X4" s="10"/>
      <c r="Y4" s="12"/>
      <c r="Z4" s="10"/>
      <c r="AA4" s="10"/>
      <c r="AB4" s="10"/>
      <c r="AC4" s="10"/>
      <c r="AD4" s="12"/>
      <c r="AE4" s="10"/>
      <c r="AF4" s="10"/>
      <c r="AG4" s="12"/>
      <c r="AH4" s="10"/>
      <c r="AI4" s="10"/>
      <c r="AJ4" s="10"/>
      <c r="AK4" s="10"/>
      <c r="AL4" s="12"/>
      <c r="AM4" s="10"/>
      <c r="AN4" s="10"/>
      <c r="AO4" s="12"/>
      <c r="AP4" s="10"/>
      <c r="AQ4" s="10"/>
      <c r="AR4" s="10"/>
      <c r="AS4" s="10"/>
      <c r="AT4" s="10"/>
      <c r="AU4" s="10"/>
      <c r="AV4" s="10"/>
    </row>
    <row r="5" spans="1:48" s="14" customFormat="1" ht="15" customHeight="1" x14ac:dyDescent="0.25">
      <c r="A5" s="5"/>
      <c r="B5" s="206"/>
      <c r="C5" s="10"/>
      <c r="D5" s="10"/>
      <c r="E5" s="10"/>
      <c r="F5" s="10"/>
      <c r="G5" s="10"/>
      <c r="H5" s="10"/>
      <c r="I5" s="12"/>
      <c r="J5" s="10"/>
      <c r="K5" s="10"/>
      <c r="L5" s="10"/>
      <c r="M5" s="10"/>
      <c r="N5" s="12"/>
      <c r="O5" s="10"/>
      <c r="P5" s="10"/>
      <c r="Q5" s="12"/>
      <c r="R5" s="10"/>
      <c r="S5" s="10"/>
      <c r="T5" s="10"/>
      <c r="U5" s="10"/>
      <c r="V5" s="12"/>
      <c r="W5" s="10"/>
      <c r="X5" s="10"/>
      <c r="Y5" s="12"/>
      <c r="Z5" s="10"/>
      <c r="AA5" s="10"/>
      <c r="AB5" s="10"/>
      <c r="AC5" s="10"/>
      <c r="AD5" s="12"/>
      <c r="AE5" s="10"/>
      <c r="AF5" s="10"/>
      <c r="AG5" s="12"/>
      <c r="AH5" s="10"/>
      <c r="AI5" s="10"/>
      <c r="AJ5" s="10"/>
      <c r="AK5" s="10"/>
      <c r="AL5" s="12"/>
      <c r="AM5" s="10"/>
      <c r="AN5" s="10"/>
      <c r="AO5" s="12"/>
      <c r="AP5" s="10"/>
      <c r="AQ5" s="10"/>
      <c r="AR5" s="10"/>
      <c r="AS5" s="10"/>
      <c r="AT5" s="10"/>
      <c r="AU5" s="10"/>
      <c r="AV5" s="10"/>
    </row>
    <row r="6" spans="1:48" s="14" customFormat="1" x14ac:dyDescent="0.25">
      <c r="A6" s="5" t="s">
        <v>141</v>
      </c>
      <c r="B6" s="206">
        <v>10.3</v>
      </c>
      <c r="C6" s="10"/>
      <c r="D6" s="10"/>
      <c r="E6" s="10"/>
      <c r="F6" s="10"/>
      <c r="G6"/>
      <c r="H6" s="10"/>
      <c r="I6" s="12"/>
      <c r="J6" s="10"/>
      <c r="K6" s="10"/>
      <c r="L6" s="10"/>
      <c r="M6" s="10"/>
      <c r="N6" s="12"/>
      <c r="O6" s="10"/>
      <c r="P6" s="10"/>
      <c r="Q6" s="12"/>
      <c r="R6" s="10"/>
      <c r="S6" s="10"/>
      <c r="T6" s="10"/>
      <c r="U6" s="10"/>
      <c r="V6" s="12"/>
      <c r="W6" s="10"/>
      <c r="X6" s="10"/>
      <c r="Y6" s="12"/>
      <c r="Z6" s="10"/>
      <c r="AA6" s="10"/>
      <c r="AB6" s="10"/>
      <c r="AC6" s="10"/>
      <c r="AD6" s="12"/>
      <c r="AE6" s="10"/>
      <c r="AF6" s="10"/>
      <c r="AG6" s="12"/>
      <c r="AH6" s="10"/>
      <c r="AI6" s="10"/>
      <c r="AJ6" s="10"/>
      <c r="AK6" s="10"/>
      <c r="AL6" s="12"/>
      <c r="AM6" s="10"/>
      <c r="AN6" s="10"/>
      <c r="AO6" s="12"/>
      <c r="AP6" s="10"/>
      <c r="AQ6" s="10"/>
      <c r="AR6" s="10"/>
      <c r="AS6" s="10"/>
      <c r="AT6" s="10"/>
      <c r="AU6" s="10"/>
      <c r="AV6" s="10"/>
    </row>
    <row r="7" spans="1:48" s="14" customFormat="1" ht="15" customHeight="1" x14ac:dyDescent="0.25">
      <c r="A7" s="5" t="s">
        <v>142</v>
      </c>
      <c r="B7" s="206">
        <v>1</v>
      </c>
      <c r="C7" s="10"/>
      <c r="D7" s="10"/>
      <c r="E7" s="10"/>
      <c r="F7" s="10"/>
      <c r="G7" s="10"/>
      <c r="H7" s="10"/>
      <c r="I7" s="12"/>
      <c r="J7" s="10"/>
      <c r="K7" s="10"/>
      <c r="L7" s="10"/>
      <c r="M7" s="10"/>
      <c r="N7" s="12"/>
      <c r="O7" s="10"/>
      <c r="P7" s="10"/>
      <c r="Q7" s="12"/>
      <c r="R7" s="10"/>
      <c r="S7" s="10"/>
      <c r="T7" s="10"/>
      <c r="U7" s="10"/>
      <c r="V7" s="12"/>
      <c r="W7" s="10"/>
      <c r="X7" s="10"/>
      <c r="Y7" s="12"/>
      <c r="Z7" s="10"/>
      <c r="AA7" s="10"/>
      <c r="AB7" s="10"/>
      <c r="AC7" s="10"/>
      <c r="AD7" s="12"/>
      <c r="AE7" s="10"/>
      <c r="AF7" s="10"/>
      <c r="AG7" s="12"/>
      <c r="AH7" s="10"/>
      <c r="AI7" s="10"/>
      <c r="AJ7" s="10"/>
      <c r="AK7" s="10"/>
      <c r="AL7" s="12"/>
      <c r="AM7" s="10"/>
      <c r="AN7" s="10"/>
      <c r="AO7" s="12"/>
      <c r="AP7" s="10"/>
      <c r="AQ7" s="10"/>
      <c r="AR7" s="10"/>
      <c r="AS7" s="10"/>
      <c r="AT7" s="10"/>
      <c r="AU7" s="10"/>
      <c r="AV7" s="10"/>
    </row>
    <row r="8" spans="1:48" s="14" customFormat="1" ht="15" customHeight="1" x14ac:dyDescent="0.25">
      <c r="A8" s="5" t="s">
        <v>143</v>
      </c>
      <c r="B8" s="206">
        <v>0.4</v>
      </c>
      <c r="C8" s="10"/>
      <c r="D8" s="10"/>
      <c r="E8"/>
      <c r="F8" s="10"/>
      <c r="G8" s="10"/>
      <c r="H8" s="10"/>
      <c r="I8" s="12"/>
      <c r="J8" s="10"/>
      <c r="K8" s="10"/>
      <c r="L8" s="10"/>
      <c r="M8" s="10"/>
      <c r="N8" s="12"/>
      <c r="O8" s="10"/>
      <c r="P8" s="10"/>
      <c r="Q8" s="12"/>
      <c r="R8" s="10"/>
      <c r="S8" s="10"/>
      <c r="T8" s="10"/>
      <c r="U8" s="10"/>
      <c r="V8" s="12"/>
      <c r="W8" s="10"/>
      <c r="X8" s="10"/>
      <c r="Y8" s="12"/>
      <c r="Z8" s="10"/>
      <c r="AA8" s="10"/>
      <c r="AB8" s="10"/>
      <c r="AC8" s="10"/>
      <c r="AD8" s="12"/>
      <c r="AE8" s="10"/>
      <c r="AF8" s="10"/>
      <c r="AG8" s="12"/>
      <c r="AH8" s="10"/>
      <c r="AI8" s="10"/>
      <c r="AJ8" s="10"/>
      <c r="AK8" s="10"/>
      <c r="AL8" s="12"/>
      <c r="AM8" s="10"/>
      <c r="AN8" s="10"/>
      <c r="AO8" s="12"/>
      <c r="AP8" s="10"/>
      <c r="AQ8" s="10"/>
      <c r="AR8" s="10"/>
      <c r="AS8" s="10"/>
      <c r="AT8" s="10"/>
      <c r="AU8" s="10"/>
      <c r="AV8" s="10"/>
    </row>
    <row r="9" spans="1:48" s="14" customFormat="1" ht="15" customHeight="1" x14ac:dyDescent="0.25">
      <c r="A9" s="5" t="s">
        <v>144</v>
      </c>
      <c r="B9" s="206">
        <v>2.2999999999999998</v>
      </c>
      <c r="C9" s="10"/>
      <c r="D9" s="10"/>
      <c r="E9" s="10"/>
      <c r="F9" s="10"/>
      <c r="G9" s="10"/>
      <c r="H9" s="10"/>
      <c r="I9" s="12"/>
      <c r="J9" s="10"/>
      <c r="K9" s="10"/>
      <c r="L9" s="10"/>
      <c r="M9" s="10"/>
      <c r="N9" s="12"/>
      <c r="O9" s="10"/>
      <c r="P9" s="10"/>
      <c r="Q9" s="12"/>
      <c r="R9" s="10"/>
      <c r="S9" s="10"/>
      <c r="T9" s="10"/>
      <c r="U9" s="10"/>
      <c r="V9" s="12"/>
      <c r="W9" s="10"/>
      <c r="X9" s="10"/>
      <c r="Y9" s="12"/>
      <c r="Z9" s="10"/>
      <c r="AA9" s="10"/>
      <c r="AB9" s="10"/>
      <c r="AC9" s="10"/>
      <c r="AD9" s="12"/>
      <c r="AE9" s="10"/>
      <c r="AF9" s="10"/>
      <c r="AG9" s="12"/>
      <c r="AH9" s="10"/>
      <c r="AI9" s="10"/>
      <c r="AJ9" s="10"/>
      <c r="AK9" s="10"/>
      <c r="AL9" s="12"/>
      <c r="AM9" s="10"/>
      <c r="AN9" s="10"/>
      <c r="AO9" s="12"/>
      <c r="AP9" s="10"/>
      <c r="AQ9" s="10"/>
      <c r="AR9" s="10"/>
      <c r="AS9" s="10"/>
      <c r="AT9" s="10"/>
      <c r="AU9" s="10"/>
      <c r="AV9" s="10"/>
    </row>
    <row r="10" spans="1:48" s="14" customFormat="1" x14ac:dyDescent="0.25">
      <c r="A10" s="203"/>
      <c r="B10" s="206"/>
      <c r="C10" s="10"/>
      <c r="D10" s="10"/>
      <c r="E10" s="10"/>
      <c r="F10" s="10"/>
      <c r="G10" s="10"/>
      <c r="H10" s="10"/>
      <c r="I10" s="12"/>
      <c r="J10" s="10"/>
      <c r="K10" s="10"/>
      <c r="L10" s="10"/>
      <c r="M10" s="10"/>
      <c r="N10" s="12"/>
      <c r="O10" s="10"/>
      <c r="P10" s="10"/>
      <c r="Q10" s="12"/>
      <c r="R10" s="10"/>
      <c r="S10" s="10"/>
      <c r="T10" s="10"/>
      <c r="U10" s="10"/>
      <c r="V10" s="12"/>
      <c r="W10" s="10"/>
      <c r="X10" s="10"/>
      <c r="Y10" s="12"/>
      <c r="Z10" s="10"/>
      <c r="AA10" s="10"/>
      <c r="AB10" s="10"/>
      <c r="AC10" s="10"/>
      <c r="AD10" s="12"/>
      <c r="AE10" s="10"/>
      <c r="AF10" s="10"/>
      <c r="AG10" s="12"/>
      <c r="AH10" s="10"/>
      <c r="AI10" s="10"/>
      <c r="AJ10" s="10"/>
      <c r="AK10" s="10"/>
      <c r="AL10" s="12"/>
      <c r="AM10" s="10"/>
      <c r="AN10" s="10"/>
      <c r="AO10" s="12"/>
      <c r="AP10" s="10"/>
      <c r="AQ10" s="10"/>
      <c r="AR10" s="10"/>
      <c r="AS10" s="10"/>
      <c r="AT10" s="10"/>
      <c r="AU10" s="10"/>
      <c r="AV10" s="10"/>
    </row>
    <row r="11" spans="1:48" s="14" customFormat="1" x14ac:dyDescent="0.25">
      <c r="A11" s="5" t="s">
        <v>145</v>
      </c>
      <c r="B11" s="207">
        <v>66.400000000000006</v>
      </c>
      <c r="C11" s="20"/>
      <c r="D11" s="20"/>
      <c r="E11" s="20"/>
      <c r="F11" s="20"/>
      <c r="G11" s="20"/>
      <c r="H11" s="20"/>
      <c r="I11" s="12"/>
      <c r="J11" s="20"/>
      <c r="K11" s="20"/>
      <c r="L11" s="20"/>
      <c r="M11" s="20"/>
      <c r="N11" s="12"/>
      <c r="O11" s="20"/>
      <c r="P11" s="20"/>
      <c r="Q11" s="12"/>
      <c r="R11" s="20"/>
      <c r="S11" s="20"/>
      <c r="T11" s="20"/>
      <c r="U11" s="20"/>
      <c r="V11" s="12"/>
      <c r="W11" s="20"/>
      <c r="X11" s="20"/>
      <c r="Y11" s="12"/>
      <c r="Z11" s="20"/>
      <c r="AA11" s="20"/>
      <c r="AB11" s="20"/>
      <c r="AC11" s="20"/>
      <c r="AD11" s="12"/>
      <c r="AE11" s="20"/>
      <c r="AF11" s="20"/>
      <c r="AG11" s="12"/>
      <c r="AH11" s="20"/>
      <c r="AI11" s="20"/>
      <c r="AJ11" s="20"/>
      <c r="AK11" s="20"/>
      <c r="AL11" s="12"/>
      <c r="AM11" s="20"/>
      <c r="AN11" s="20"/>
      <c r="AO11" s="12"/>
      <c r="AP11" s="20"/>
      <c r="AQ11" s="20"/>
      <c r="AR11" s="20"/>
      <c r="AS11" s="20"/>
      <c r="AT11" s="20"/>
      <c r="AU11" s="20"/>
      <c r="AV11" s="20"/>
    </row>
    <row r="12" spans="1:48" x14ac:dyDescent="0.25">
      <c r="A12" s="42" t="s">
        <v>119</v>
      </c>
      <c r="B12" s="206">
        <v>40.9</v>
      </c>
      <c r="C12" s="22"/>
      <c r="D12" s="22"/>
      <c r="E12" s="22"/>
      <c r="F12" s="22"/>
      <c r="G12" s="22"/>
      <c r="H12" s="22"/>
      <c r="I12" s="6"/>
      <c r="J12" s="22"/>
      <c r="K12" s="22"/>
      <c r="L12" s="22"/>
      <c r="M12" s="22"/>
      <c r="N12" s="22"/>
      <c r="O12" s="22"/>
      <c r="P12" s="22"/>
      <c r="Q12" s="6"/>
      <c r="R12" s="22"/>
      <c r="S12" s="22"/>
      <c r="T12" s="22"/>
      <c r="U12" s="22"/>
      <c r="V12" s="22"/>
      <c r="W12" s="22"/>
      <c r="X12" s="22"/>
      <c r="Y12" s="6"/>
      <c r="Z12" s="22"/>
      <c r="AA12" s="22"/>
      <c r="AB12" s="22"/>
      <c r="AC12" s="22"/>
      <c r="AD12" s="22"/>
      <c r="AE12" s="22"/>
      <c r="AF12" s="22"/>
      <c r="AG12" s="6"/>
      <c r="AH12" s="22"/>
      <c r="AI12" s="22"/>
      <c r="AJ12" s="22"/>
      <c r="AK12" s="22"/>
      <c r="AL12" s="22"/>
      <c r="AM12" s="22"/>
      <c r="AN12" s="22"/>
      <c r="AO12" s="6"/>
      <c r="AP12" s="22"/>
      <c r="AQ12" s="22"/>
      <c r="AR12" s="22"/>
      <c r="AS12" s="22"/>
      <c r="AT12" s="22"/>
      <c r="AU12" s="22"/>
      <c r="AV12" s="22"/>
    </row>
    <row r="13" spans="1:48" x14ac:dyDescent="0.25">
      <c r="A13" s="5" t="s">
        <v>120</v>
      </c>
      <c r="B13" s="209">
        <v>25.5</v>
      </c>
      <c r="C13" s="22"/>
      <c r="D13" s="22"/>
      <c r="E13" s="22"/>
      <c r="F13" s="22"/>
      <c r="G13" s="22"/>
      <c r="H13" s="22"/>
      <c r="I13" s="6"/>
      <c r="J13" s="22"/>
      <c r="K13" s="22"/>
      <c r="L13" s="22"/>
      <c r="M13" s="22"/>
      <c r="N13" s="22"/>
      <c r="O13" s="22"/>
      <c r="P13" s="22"/>
      <c r="Q13" s="6"/>
      <c r="R13" s="22"/>
      <c r="S13" s="22"/>
      <c r="T13" s="22"/>
      <c r="U13" s="22"/>
      <c r="V13" s="22"/>
      <c r="W13" s="22"/>
      <c r="X13" s="22"/>
      <c r="Y13" s="6"/>
      <c r="Z13" s="22"/>
      <c r="AA13" s="22"/>
      <c r="AB13" s="22"/>
      <c r="AC13" s="22"/>
      <c r="AD13" s="22"/>
      <c r="AE13" s="22"/>
      <c r="AF13" s="22"/>
      <c r="AG13" s="6"/>
      <c r="AH13" s="22"/>
      <c r="AI13" s="22"/>
      <c r="AJ13" s="22"/>
      <c r="AK13" s="22"/>
      <c r="AL13" s="22"/>
      <c r="AM13" s="22"/>
      <c r="AN13" s="22"/>
      <c r="AO13" s="6"/>
      <c r="AP13" s="22"/>
      <c r="AQ13" s="22"/>
      <c r="AR13" s="22"/>
      <c r="AS13" s="22"/>
      <c r="AT13" s="22"/>
      <c r="AU13" s="22"/>
      <c r="AV13" s="22"/>
    </row>
    <row r="14" spans="1:48" x14ac:dyDescent="0.25">
      <c r="A14" s="5"/>
      <c r="B14" s="209"/>
      <c r="C14" s="22"/>
      <c r="D14" s="22"/>
      <c r="E14" s="22"/>
      <c r="F14" s="22"/>
      <c r="G14" s="22"/>
      <c r="H14" s="22"/>
      <c r="I14" s="6"/>
      <c r="J14" s="22"/>
      <c r="K14" s="22"/>
      <c r="L14" s="22"/>
      <c r="M14" s="22"/>
      <c r="N14" s="22"/>
      <c r="O14" s="22"/>
      <c r="P14" s="22"/>
      <c r="Q14" s="6"/>
      <c r="R14" s="22"/>
      <c r="S14" s="22"/>
      <c r="T14" s="22"/>
      <c r="U14" s="22"/>
      <c r="V14" s="22"/>
      <c r="W14" s="22"/>
      <c r="X14" s="22"/>
      <c r="Y14" s="6"/>
      <c r="Z14" s="22"/>
      <c r="AA14" s="22"/>
      <c r="AB14" s="22"/>
      <c r="AC14" s="22"/>
      <c r="AD14" s="22"/>
      <c r="AE14" s="22"/>
      <c r="AF14" s="22"/>
      <c r="AG14" s="6"/>
      <c r="AH14" s="22"/>
      <c r="AI14" s="22"/>
      <c r="AJ14" s="22"/>
      <c r="AK14" s="22"/>
      <c r="AL14" s="22"/>
      <c r="AM14" s="22"/>
      <c r="AN14" s="22"/>
      <c r="AO14" s="6"/>
      <c r="AP14" s="22"/>
      <c r="AQ14" s="22"/>
      <c r="AR14" s="22"/>
      <c r="AS14" s="22"/>
      <c r="AT14" s="22"/>
      <c r="AU14" s="22"/>
      <c r="AV14" s="22"/>
    </row>
    <row r="15" spans="1:48" ht="15.75" thickBot="1" x14ac:dyDescent="0.3">
      <c r="A15" s="15" t="s">
        <v>123</v>
      </c>
      <c r="B15" s="208">
        <v>0.3</v>
      </c>
      <c r="C15" s="22"/>
      <c r="D15" s="22"/>
      <c r="E15" s="22"/>
      <c r="F15" s="22"/>
      <c r="G15" s="22"/>
      <c r="H15" s="22"/>
      <c r="I15" s="6"/>
      <c r="J15" s="22"/>
      <c r="K15" s="22"/>
      <c r="L15" s="22"/>
      <c r="M15" s="22"/>
      <c r="N15" s="22"/>
      <c r="O15" s="22"/>
      <c r="P15" s="22"/>
      <c r="Q15" s="6"/>
      <c r="R15" s="22"/>
      <c r="S15" s="22"/>
      <c r="T15" s="22"/>
      <c r="U15" s="22"/>
      <c r="V15" s="22"/>
      <c r="W15" s="22"/>
      <c r="X15" s="22"/>
      <c r="Y15" s="6"/>
      <c r="Z15" s="22"/>
      <c r="AA15" s="22"/>
      <c r="AB15" s="22"/>
      <c r="AC15" s="22"/>
      <c r="AD15" s="22"/>
      <c r="AE15" s="22"/>
      <c r="AF15" s="22"/>
      <c r="AG15" s="6"/>
      <c r="AH15" s="22"/>
      <c r="AI15" s="22"/>
      <c r="AJ15" s="22"/>
      <c r="AK15" s="22"/>
      <c r="AL15" s="22"/>
      <c r="AM15" s="22"/>
      <c r="AN15" s="22"/>
      <c r="AO15" s="6"/>
      <c r="AP15" s="22"/>
      <c r="AQ15" s="22"/>
      <c r="AR15" s="22"/>
      <c r="AS15" s="22"/>
      <c r="AT15" s="22"/>
      <c r="AU15" s="22"/>
      <c r="AV15" s="22"/>
    </row>
    <row r="16" spans="1:48" x14ac:dyDescent="0.25">
      <c r="A16" s="5"/>
      <c r="B16" s="22"/>
      <c r="C16" s="22"/>
      <c r="D16" s="22"/>
      <c r="E16" s="22"/>
      <c r="F16" s="22"/>
      <c r="G16" s="22"/>
      <c r="H16" s="22"/>
      <c r="I16" s="6"/>
      <c r="J16" s="22"/>
      <c r="K16" s="22"/>
      <c r="L16" s="22"/>
      <c r="M16" s="22"/>
      <c r="N16" s="22"/>
      <c r="O16" s="22"/>
      <c r="P16" s="22"/>
      <c r="Q16" s="6"/>
      <c r="R16" s="22"/>
      <c r="S16" s="22"/>
      <c r="T16" s="22"/>
      <c r="U16" s="22"/>
      <c r="V16" s="22"/>
      <c r="W16" s="22"/>
      <c r="X16" s="22"/>
      <c r="Y16" s="6"/>
      <c r="Z16" s="22"/>
      <c r="AA16" s="22"/>
      <c r="AB16" s="22"/>
      <c r="AC16" s="22"/>
      <c r="AD16" s="22"/>
      <c r="AE16" s="22"/>
      <c r="AF16" s="22"/>
      <c r="AG16" s="6"/>
      <c r="AH16" s="22"/>
      <c r="AI16" s="22"/>
      <c r="AJ16" s="22"/>
      <c r="AK16" s="22"/>
      <c r="AL16" s="22"/>
      <c r="AM16" s="22"/>
      <c r="AN16" s="22"/>
      <c r="AO16" s="6"/>
      <c r="AP16" s="22"/>
      <c r="AQ16" s="22"/>
      <c r="AR16" s="22"/>
      <c r="AS16" s="22"/>
      <c r="AT16" s="22"/>
      <c r="AU16" s="22"/>
      <c r="AV16" s="22"/>
    </row>
    <row r="17" spans="1:48" x14ac:dyDescent="0.25">
      <c r="A17" s="5"/>
      <c r="B17" s="22"/>
      <c r="C17" s="22"/>
      <c r="D17" s="22"/>
      <c r="E17" s="22"/>
      <c r="F17" s="22"/>
      <c r="G17" s="22"/>
      <c r="H17" s="22"/>
      <c r="I17" s="6"/>
      <c r="J17" s="22"/>
      <c r="K17" s="22"/>
      <c r="L17" s="22"/>
      <c r="M17" s="22"/>
      <c r="N17" s="22"/>
      <c r="O17" s="22"/>
      <c r="P17" s="22"/>
      <c r="Q17" s="6"/>
      <c r="R17" s="22"/>
      <c r="S17" s="22"/>
      <c r="T17" s="22"/>
      <c r="U17" s="22"/>
      <c r="V17" s="22"/>
      <c r="W17" s="22"/>
      <c r="X17" s="22"/>
      <c r="Y17" s="6"/>
      <c r="Z17" s="22"/>
      <c r="AA17" s="22"/>
      <c r="AB17" s="22"/>
      <c r="AC17" s="22"/>
      <c r="AD17" s="22"/>
      <c r="AE17" s="22"/>
      <c r="AF17" s="22"/>
      <c r="AG17" s="6"/>
      <c r="AH17" s="22"/>
      <c r="AI17" s="22"/>
      <c r="AJ17" s="22"/>
      <c r="AK17" s="22"/>
      <c r="AL17" s="22"/>
      <c r="AM17" s="22"/>
      <c r="AN17" s="22"/>
      <c r="AO17" s="6"/>
      <c r="AP17" s="22"/>
      <c r="AQ17" s="22"/>
      <c r="AR17" s="22"/>
      <c r="AS17" s="22"/>
      <c r="AT17" s="22"/>
      <c r="AU17" s="22"/>
      <c r="AV17" s="22"/>
    </row>
    <row r="18" spans="1:48" ht="15.75" thickBot="1" x14ac:dyDescent="0.3">
      <c r="A18" s="5"/>
      <c r="B18" s="22"/>
      <c r="C18" s="22"/>
      <c r="D18" s="22"/>
      <c r="E18" s="22"/>
      <c r="F18" s="22"/>
      <c r="G18" s="22"/>
      <c r="H18" s="22"/>
      <c r="I18" s="6"/>
      <c r="J18" s="22"/>
      <c r="K18" s="22"/>
      <c r="L18" s="22"/>
      <c r="M18" s="22"/>
      <c r="N18" s="22"/>
      <c r="O18" s="22"/>
      <c r="P18" s="22"/>
      <c r="Q18" s="6"/>
      <c r="R18" s="22"/>
      <c r="S18" s="22"/>
      <c r="T18" s="22"/>
      <c r="U18" s="22"/>
      <c r="V18" s="22"/>
      <c r="W18" s="22"/>
      <c r="X18" s="22"/>
      <c r="Y18" s="6"/>
      <c r="Z18" s="22"/>
      <c r="AA18" s="22"/>
      <c r="AB18" s="22"/>
      <c r="AC18" s="22"/>
      <c r="AD18" s="22"/>
      <c r="AE18" s="22"/>
      <c r="AF18" s="22"/>
      <c r="AG18" s="6"/>
      <c r="AH18" s="22"/>
      <c r="AI18" s="22"/>
      <c r="AJ18" s="22"/>
      <c r="AK18" s="22"/>
      <c r="AL18" s="22"/>
      <c r="AM18" s="22"/>
      <c r="AN18" s="22"/>
      <c r="AO18" s="6"/>
      <c r="AP18" s="22"/>
      <c r="AQ18" s="22"/>
      <c r="AR18" s="22"/>
      <c r="AS18" s="22"/>
      <c r="AT18" s="22"/>
      <c r="AU18" s="22"/>
      <c r="AV18" s="22"/>
    </row>
    <row r="19" spans="1:48" ht="15.75" thickBot="1" x14ac:dyDescent="0.3">
      <c r="A19" s="5"/>
      <c r="B19" s="261">
        <v>2012</v>
      </c>
      <c r="C19" s="262"/>
      <c r="D19" s="262"/>
      <c r="E19" s="262"/>
      <c r="F19" s="262"/>
      <c r="G19" s="262"/>
      <c r="H19" s="263"/>
      <c r="I19" s="6"/>
      <c r="J19" s="261">
        <v>2011</v>
      </c>
      <c r="K19" s="262"/>
      <c r="L19" s="262"/>
      <c r="M19" s="262"/>
      <c r="N19" s="262"/>
      <c r="O19" s="262"/>
      <c r="P19" s="263"/>
      <c r="Q19" s="6"/>
      <c r="R19" s="261">
        <v>2010</v>
      </c>
      <c r="S19" s="262"/>
      <c r="T19" s="262"/>
      <c r="U19" s="262"/>
      <c r="V19" s="262"/>
      <c r="W19" s="262"/>
      <c r="X19" s="263"/>
      <c r="Y19" s="6"/>
      <c r="Z19" s="261">
        <v>2009</v>
      </c>
      <c r="AA19" s="262"/>
      <c r="AB19" s="262"/>
      <c r="AC19" s="262"/>
      <c r="AD19" s="262"/>
      <c r="AE19" s="262"/>
      <c r="AF19" s="263"/>
      <c r="AG19" s="6"/>
      <c r="AH19" s="261">
        <v>2008</v>
      </c>
      <c r="AI19" s="262"/>
      <c r="AJ19" s="262"/>
      <c r="AK19" s="262"/>
      <c r="AL19" s="262"/>
      <c r="AM19" s="262"/>
      <c r="AN19" s="263"/>
      <c r="AO19" s="6"/>
      <c r="AP19" s="261">
        <v>2007</v>
      </c>
      <c r="AQ19" s="262"/>
      <c r="AR19" s="262"/>
      <c r="AS19" s="262"/>
      <c r="AT19" s="262"/>
      <c r="AU19" s="262"/>
      <c r="AV19" s="263"/>
    </row>
    <row r="20" spans="1:48" s="163" customFormat="1" x14ac:dyDescent="0.25">
      <c r="A20" s="34"/>
      <c r="B20" s="76" t="s">
        <v>3</v>
      </c>
      <c r="C20" s="10" t="s">
        <v>4</v>
      </c>
      <c r="D20" s="10" t="s">
        <v>5</v>
      </c>
      <c r="E20" s="10" t="s">
        <v>6</v>
      </c>
      <c r="F20" s="10" t="s">
        <v>7</v>
      </c>
      <c r="G20" s="10" t="s">
        <v>8</v>
      </c>
      <c r="H20" s="13" t="s">
        <v>9</v>
      </c>
      <c r="I20" s="35"/>
      <c r="J20" s="76" t="s">
        <v>3</v>
      </c>
      <c r="K20" s="10" t="s">
        <v>4</v>
      </c>
      <c r="L20" s="10" t="s">
        <v>5</v>
      </c>
      <c r="M20" s="10" t="s">
        <v>6</v>
      </c>
      <c r="N20" s="10" t="s">
        <v>7</v>
      </c>
      <c r="O20" s="10" t="s">
        <v>8</v>
      </c>
      <c r="P20" s="13" t="s">
        <v>9</v>
      </c>
      <c r="Q20" s="35"/>
      <c r="R20" s="76" t="s">
        <v>3</v>
      </c>
      <c r="S20" s="10" t="s">
        <v>4</v>
      </c>
      <c r="T20" s="10" t="s">
        <v>5</v>
      </c>
      <c r="U20" s="10" t="s">
        <v>6</v>
      </c>
      <c r="V20" s="10" t="s">
        <v>7</v>
      </c>
      <c r="W20" s="10" t="s">
        <v>8</v>
      </c>
      <c r="X20" s="13" t="s">
        <v>9</v>
      </c>
      <c r="Y20" s="35"/>
      <c r="Z20" s="76" t="s">
        <v>3</v>
      </c>
      <c r="AA20" s="10" t="s">
        <v>4</v>
      </c>
      <c r="AB20" s="10" t="s">
        <v>5</v>
      </c>
      <c r="AC20" s="10" t="s">
        <v>6</v>
      </c>
      <c r="AD20" s="10" t="s">
        <v>7</v>
      </c>
      <c r="AE20" s="10" t="s">
        <v>8</v>
      </c>
      <c r="AF20" s="13" t="s">
        <v>9</v>
      </c>
      <c r="AG20" s="35"/>
      <c r="AH20" s="76" t="s">
        <v>3</v>
      </c>
      <c r="AI20" s="10" t="s">
        <v>4</v>
      </c>
      <c r="AJ20" s="10" t="s">
        <v>5</v>
      </c>
      <c r="AK20" s="10" t="s">
        <v>6</v>
      </c>
      <c r="AL20" s="10" t="s">
        <v>7</v>
      </c>
      <c r="AM20" s="10" t="s">
        <v>8</v>
      </c>
      <c r="AN20" s="13" t="s">
        <v>9</v>
      </c>
      <c r="AO20" s="35"/>
      <c r="AP20" s="76" t="s">
        <v>3</v>
      </c>
      <c r="AQ20" s="10" t="s">
        <v>4</v>
      </c>
      <c r="AR20" s="10" t="s">
        <v>5</v>
      </c>
      <c r="AS20" s="10" t="s">
        <v>6</v>
      </c>
      <c r="AT20" s="10" t="s">
        <v>7</v>
      </c>
      <c r="AU20" s="10" t="s">
        <v>8</v>
      </c>
      <c r="AV20" s="13" t="s">
        <v>9</v>
      </c>
    </row>
    <row r="21" spans="1:48" x14ac:dyDescent="0.25">
      <c r="A21" s="5"/>
      <c r="B21" s="24"/>
      <c r="C21" s="22"/>
      <c r="D21" s="22"/>
      <c r="E21" s="22"/>
      <c r="F21" s="22"/>
      <c r="G21" s="22"/>
      <c r="H21" s="23"/>
      <c r="I21" s="6"/>
      <c r="J21" s="24"/>
      <c r="K21" s="22"/>
      <c r="L21" s="22"/>
      <c r="M21" s="22"/>
      <c r="N21" s="22"/>
      <c r="O21" s="22"/>
      <c r="P21" s="23"/>
      <c r="Q21" s="6"/>
      <c r="R21" s="24"/>
      <c r="S21" s="22"/>
      <c r="T21" s="22"/>
      <c r="U21" s="22"/>
      <c r="V21" s="22"/>
      <c r="W21" s="22"/>
      <c r="X21" s="23"/>
      <c r="Y21" s="6"/>
      <c r="Z21" s="24"/>
      <c r="AA21" s="22"/>
      <c r="AB21" s="22"/>
      <c r="AC21" s="22"/>
      <c r="AD21" s="22"/>
      <c r="AE21" s="22"/>
      <c r="AF21" s="23"/>
      <c r="AG21" s="6"/>
      <c r="AH21" s="24"/>
      <c r="AI21" s="22"/>
      <c r="AJ21" s="22"/>
      <c r="AK21" s="22"/>
      <c r="AL21" s="22"/>
      <c r="AM21" s="22"/>
      <c r="AN21" s="23"/>
      <c r="AO21" s="6"/>
      <c r="AP21" s="24"/>
      <c r="AQ21" s="22"/>
      <c r="AR21" s="22"/>
      <c r="AS21" s="22"/>
      <c r="AT21" s="22"/>
      <c r="AU21" s="22"/>
      <c r="AV21" s="23"/>
    </row>
    <row r="22" spans="1:48" s="14" customFormat="1" x14ac:dyDescent="0.25">
      <c r="A22" s="16" t="s">
        <v>10</v>
      </c>
      <c r="B22" s="25">
        <v>37076</v>
      </c>
      <c r="C22" s="20">
        <v>14177</v>
      </c>
      <c r="D22" s="20">
        <v>51253</v>
      </c>
      <c r="E22" s="20">
        <v>0</v>
      </c>
      <c r="F22" s="20">
        <v>51253</v>
      </c>
      <c r="G22" s="20">
        <v>0</v>
      </c>
      <c r="H22" s="21">
        <v>51253</v>
      </c>
      <c r="I22" s="26"/>
      <c r="J22" s="25">
        <v>32686</v>
      </c>
      <c r="K22" s="20">
        <v>39296</v>
      </c>
      <c r="L22" s="20">
        <v>71982</v>
      </c>
      <c r="M22" s="20">
        <v>43651</v>
      </c>
      <c r="N22" s="20">
        <v>115633</v>
      </c>
      <c r="O22" s="20">
        <v>55261</v>
      </c>
      <c r="P22" s="21">
        <v>170894</v>
      </c>
      <c r="Q22" s="26"/>
      <c r="R22" s="25">
        <v>29704</v>
      </c>
      <c r="S22" s="20">
        <v>35277</v>
      </c>
      <c r="T22" s="20">
        <v>64981</v>
      </c>
      <c r="U22" s="20">
        <v>41128</v>
      </c>
      <c r="V22" s="20">
        <v>106109</v>
      </c>
      <c r="W22" s="20">
        <v>53831</v>
      </c>
      <c r="X22" s="21">
        <v>159940</v>
      </c>
      <c r="Y22" s="26"/>
      <c r="Z22" s="25">
        <v>26711</v>
      </c>
      <c r="AA22" s="20">
        <v>29461</v>
      </c>
      <c r="AB22" s="20">
        <v>56172</v>
      </c>
      <c r="AC22" s="20">
        <v>35545</v>
      </c>
      <c r="AD22" s="20">
        <v>91717</v>
      </c>
      <c r="AE22" s="20">
        <v>47600</v>
      </c>
      <c r="AF22" s="21">
        <v>139317</v>
      </c>
      <c r="AG22" s="26"/>
      <c r="AH22" s="25">
        <v>28775</v>
      </c>
      <c r="AI22" s="20">
        <v>35792</v>
      </c>
      <c r="AJ22" s="20">
        <v>64567</v>
      </c>
      <c r="AK22" s="20">
        <v>42571</v>
      </c>
      <c r="AL22" s="20">
        <v>107138</v>
      </c>
      <c r="AM22" s="20">
        <v>52659</v>
      </c>
      <c r="AN22" s="21">
        <v>159797</v>
      </c>
      <c r="AO22" s="26"/>
      <c r="AP22" s="25">
        <v>7528</v>
      </c>
      <c r="AQ22" s="20">
        <v>32432</v>
      </c>
      <c r="AR22" s="20">
        <v>39960</v>
      </c>
      <c r="AS22" s="20">
        <v>36605</v>
      </c>
      <c r="AT22" s="20">
        <v>76565</v>
      </c>
      <c r="AU22" s="20">
        <v>51884</v>
      </c>
      <c r="AV22" s="21">
        <v>128449</v>
      </c>
    </row>
    <row r="23" spans="1:48" s="14" customFormat="1" x14ac:dyDescent="0.25">
      <c r="A23" s="16" t="s">
        <v>11</v>
      </c>
      <c r="B23" s="25">
        <v>22170</v>
      </c>
      <c r="C23" s="20">
        <v>8566</v>
      </c>
      <c r="D23" s="20">
        <v>30736</v>
      </c>
      <c r="E23" s="20">
        <v>0</v>
      </c>
      <c r="F23" s="20">
        <v>30736</v>
      </c>
      <c r="G23" s="20">
        <v>0</v>
      </c>
      <c r="H23" s="21">
        <v>30736</v>
      </c>
      <c r="I23" s="26"/>
      <c r="J23" s="25">
        <v>19947</v>
      </c>
      <c r="K23" s="20">
        <v>23683</v>
      </c>
      <c r="L23" s="20">
        <v>43630</v>
      </c>
      <c r="M23" s="20">
        <v>26545</v>
      </c>
      <c r="N23" s="20">
        <v>70175</v>
      </c>
      <c r="O23" s="20">
        <v>32920</v>
      </c>
      <c r="P23" s="21">
        <v>103095</v>
      </c>
      <c r="Q23" s="26"/>
      <c r="R23" s="25">
        <v>17974</v>
      </c>
      <c r="S23" s="20">
        <v>21600</v>
      </c>
      <c r="T23" s="20">
        <v>39574</v>
      </c>
      <c r="U23" s="20">
        <v>25373</v>
      </c>
      <c r="V23" s="20">
        <v>64947</v>
      </c>
      <c r="W23" s="20">
        <v>32316</v>
      </c>
      <c r="X23" s="21">
        <v>97263</v>
      </c>
      <c r="Y23" s="26"/>
      <c r="Z23" s="25">
        <v>16972</v>
      </c>
      <c r="AA23" s="20">
        <v>17706</v>
      </c>
      <c r="AB23" s="20">
        <v>34678</v>
      </c>
      <c r="AC23" s="20">
        <v>21859</v>
      </c>
      <c r="AD23" s="20">
        <v>56537</v>
      </c>
      <c r="AE23" s="20">
        <v>28346</v>
      </c>
      <c r="AF23" s="21">
        <v>84883</v>
      </c>
      <c r="AG23" s="26"/>
      <c r="AH23" s="25">
        <v>18410</v>
      </c>
      <c r="AI23" s="20">
        <v>22255</v>
      </c>
      <c r="AJ23" s="20">
        <v>40665</v>
      </c>
      <c r="AK23" s="20">
        <v>26751</v>
      </c>
      <c r="AL23" s="20">
        <v>67416</v>
      </c>
      <c r="AM23" s="20">
        <v>31429</v>
      </c>
      <c r="AN23" s="21">
        <v>98845</v>
      </c>
      <c r="AO23" s="26"/>
      <c r="AP23" s="25">
        <v>4791</v>
      </c>
      <c r="AQ23" s="20">
        <v>20657</v>
      </c>
      <c r="AR23" s="20">
        <v>25448</v>
      </c>
      <c r="AS23" s="20">
        <v>22629</v>
      </c>
      <c r="AT23" s="20">
        <v>48077</v>
      </c>
      <c r="AU23" s="20">
        <v>30987</v>
      </c>
      <c r="AV23" s="21">
        <v>79064</v>
      </c>
    </row>
    <row r="24" spans="1:48" s="14" customFormat="1" x14ac:dyDescent="0.25">
      <c r="A24" s="16" t="s">
        <v>12</v>
      </c>
      <c r="B24" s="25">
        <v>14906</v>
      </c>
      <c r="C24" s="20">
        <v>5611</v>
      </c>
      <c r="D24" s="20">
        <v>20517</v>
      </c>
      <c r="E24" s="20">
        <v>0</v>
      </c>
      <c r="F24" s="20">
        <v>20517</v>
      </c>
      <c r="G24" s="20">
        <v>0</v>
      </c>
      <c r="H24" s="21">
        <v>20517</v>
      </c>
      <c r="I24" s="26"/>
      <c r="J24" s="25">
        <v>12739</v>
      </c>
      <c r="K24" s="20">
        <v>15613</v>
      </c>
      <c r="L24" s="20">
        <v>28352</v>
      </c>
      <c r="M24" s="20">
        <v>17106</v>
      </c>
      <c r="N24" s="20">
        <v>45458</v>
      </c>
      <c r="O24" s="20">
        <v>22341</v>
      </c>
      <c r="P24" s="21">
        <v>67799</v>
      </c>
      <c r="Q24" s="26"/>
      <c r="R24" s="25">
        <v>11730</v>
      </c>
      <c r="S24" s="20">
        <v>13677</v>
      </c>
      <c r="T24" s="20">
        <v>25407</v>
      </c>
      <c r="U24" s="20">
        <v>15755</v>
      </c>
      <c r="V24" s="20">
        <v>41162</v>
      </c>
      <c r="W24" s="20">
        <v>21515</v>
      </c>
      <c r="X24" s="21">
        <v>62677</v>
      </c>
      <c r="Y24" s="26"/>
      <c r="Z24" s="25">
        <v>9739</v>
      </c>
      <c r="AA24" s="20">
        <v>11755</v>
      </c>
      <c r="AB24" s="20">
        <v>21494</v>
      </c>
      <c r="AC24" s="20">
        <v>13686</v>
      </c>
      <c r="AD24" s="20">
        <v>35180</v>
      </c>
      <c r="AE24" s="20">
        <v>19254</v>
      </c>
      <c r="AF24" s="21">
        <v>54434</v>
      </c>
      <c r="AG24" s="26"/>
      <c r="AH24" s="25">
        <v>10365</v>
      </c>
      <c r="AI24" s="20">
        <v>13537</v>
      </c>
      <c r="AJ24" s="20">
        <v>23902</v>
      </c>
      <c r="AK24" s="20">
        <v>15820</v>
      </c>
      <c r="AL24" s="20">
        <v>39722</v>
      </c>
      <c r="AM24" s="20">
        <v>21230</v>
      </c>
      <c r="AN24" s="21">
        <v>60952</v>
      </c>
      <c r="AO24" s="26"/>
      <c r="AP24" s="25">
        <v>2737</v>
      </c>
      <c r="AQ24" s="20">
        <v>11775</v>
      </c>
      <c r="AR24" s="20">
        <v>14512</v>
      </c>
      <c r="AS24" s="20">
        <v>13976</v>
      </c>
      <c r="AT24" s="20">
        <v>28488</v>
      </c>
      <c r="AU24" s="20">
        <v>20897</v>
      </c>
      <c r="AV24" s="21">
        <v>49385</v>
      </c>
    </row>
    <row r="25" spans="1:48" ht="15" customHeight="1" outlineLevel="1" x14ac:dyDescent="0.25">
      <c r="A25" s="5" t="s">
        <v>13</v>
      </c>
      <c r="B25" s="27">
        <v>13617</v>
      </c>
      <c r="C25" s="22">
        <v>8042</v>
      </c>
      <c r="D25" s="22">
        <v>21659</v>
      </c>
      <c r="E25" s="22">
        <v>0</v>
      </c>
      <c r="F25" s="22">
        <v>21659</v>
      </c>
      <c r="G25" s="22">
        <v>0</v>
      </c>
      <c r="H25" s="23">
        <v>21659</v>
      </c>
      <c r="I25" s="30"/>
      <c r="J25" s="27">
        <v>12457</v>
      </c>
      <c r="K25" s="22">
        <v>12001</v>
      </c>
      <c r="L25" s="22">
        <v>24458</v>
      </c>
      <c r="M25" s="22">
        <v>13895</v>
      </c>
      <c r="N25" s="22">
        <v>38353</v>
      </c>
      <c r="O25" s="22">
        <v>17477</v>
      </c>
      <c r="P25" s="23">
        <v>55830</v>
      </c>
      <c r="Q25" s="30"/>
      <c r="R25" s="27">
        <v>11762</v>
      </c>
      <c r="S25" s="22">
        <v>12714</v>
      </c>
      <c r="T25" s="22">
        <v>24476</v>
      </c>
      <c r="U25" s="22">
        <v>13694</v>
      </c>
      <c r="V25" s="22">
        <v>38170</v>
      </c>
      <c r="W25" s="22">
        <v>16718</v>
      </c>
      <c r="X25" s="23">
        <v>54888</v>
      </c>
      <c r="Y25" s="30"/>
      <c r="Z25" s="27">
        <v>11031</v>
      </c>
      <c r="AA25" s="22">
        <v>11058</v>
      </c>
      <c r="AB25" s="22">
        <v>22089</v>
      </c>
      <c r="AC25" s="22">
        <v>12202</v>
      </c>
      <c r="AD25" s="22">
        <v>34291</v>
      </c>
      <c r="AE25" s="22">
        <v>14423</v>
      </c>
      <c r="AF25" s="23">
        <v>48714</v>
      </c>
      <c r="AG25" s="30"/>
      <c r="AH25" s="27">
        <v>10468</v>
      </c>
      <c r="AI25" s="22">
        <v>12294</v>
      </c>
      <c r="AJ25" s="22">
        <v>22762</v>
      </c>
      <c r="AK25" s="22">
        <v>13800</v>
      </c>
      <c r="AL25" s="22">
        <v>36562</v>
      </c>
      <c r="AM25" s="22">
        <v>16244</v>
      </c>
      <c r="AN25" s="23">
        <v>52806</v>
      </c>
      <c r="AO25" s="30"/>
      <c r="AP25" s="27">
        <v>3088</v>
      </c>
      <c r="AQ25" s="22">
        <v>10547</v>
      </c>
      <c r="AR25" s="28">
        <v>13635</v>
      </c>
      <c r="AS25" s="22">
        <v>11492</v>
      </c>
      <c r="AT25" s="22">
        <v>25127</v>
      </c>
      <c r="AU25" s="22">
        <v>15026</v>
      </c>
      <c r="AV25" s="23">
        <v>40153</v>
      </c>
    </row>
    <row r="26" spans="1:48" ht="15" customHeight="1" outlineLevel="1" x14ac:dyDescent="0.25">
      <c r="A26" s="5" t="s">
        <v>14</v>
      </c>
      <c r="B26" s="27">
        <v>125</v>
      </c>
      <c r="C26" s="22">
        <v>42</v>
      </c>
      <c r="D26" s="22">
        <v>167</v>
      </c>
      <c r="E26" s="22">
        <v>0</v>
      </c>
      <c r="F26" s="22">
        <v>167</v>
      </c>
      <c r="G26" s="22">
        <v>0</v>
      </c>
      <c r="H26" s="23">
        <v>167</v>
      </c>
      <c r="I26" s="30"/>
      <c r="J26" s="27">
        <v>125</v>
      </c>
      <c r="K26" s="22">
        <v>125</v>
      </c>
      <c r="L26" s="22">
        <v>250</v>
      </c>
      <c r="M26" s="22">
        <v>125</v>
      </c>
      <c r="N26" s="22">
        <v>375</v>
      </c>
      <c r="O26" s="22">
        <v>125</v>
      </c>
      <c r="P26" s="23">
        <v>500</v>
      </c>
      <c r="Q26" s="30"/>
      <c r="R26" s="27">
        <v>125</v>
      </c>
      <c r="S26" s="22">
        <v>125</v>
      </c>
      <c r="T26" s="22">
        <v>250</v>
      </c>
      <c r="U26" s="22">
        <v>125</v>
      </c>
      <c r="V26" s="22">
        <v>375</v>
      </c>
      <c r="W26" s="22">
        <v>125</v>
      </c>
      <c r="X26" s="23">
        <v>500</v>
      </c>
      <c r="Y26" s="30"/>
      <c r="Z26" s="27">
        <v>125</v>
      </c>
      <c r="AA26" s="22">
        <v>125</v>
      </c>
      <c r="AB26" s="22">
        <v>250</v>
      </c>
      <c r="AC26" s="22">
        <v>125</v>
      </c>
      <c r="AD26" s="22">
        <v>375</v>
      </c>
      <c r="AE26" s="22">
        <v>0</v>
      </c>
      <c r="AF26" s="23">
        <v>375</v>
      </c>
      <c r="AG26" s="30"/>
      <c r="AH26" s="27">
        <v>125</v>
      </c>
      <c r="AI26" s="22">
        <v>125</v>
      </c>
      <c r="AJ26" s="22">
        <v>250</v>
      </c>
      <c r="AK26" s="22">
        <v>125</v>
      </c>
      <c r="AL26" s="22">
        <v>375</v>
      </c>
      <c r="AM26" s="22">
        <v>125</v>
      </c>
      <c r="AN26" s="23">
        <v>500</v>
      </c>
      <c r="AO26" s="30"/>
      <c r="AP26" s="27">
        <v>42</v>
      </c>
      <c r="AQ26" s="22">
        <v>126</v>
      </c>
      <c r="AR26" s="28">
        <v>168</v>
      </c>
      <c r="AS26" s="22">
        <v>82</v>
      </c>
      <c r="AT26" s="22">
        <v>250</v>
      </c>
      <c r="AU26" s="22">
        <v>167</v>
      </c>
      <c r="AV26" s="23">
        <v>417</v>
      </c>
    </row>
    <row r="27" spans="1:48" ht="17.25" customHeight="1" outlineLevel="1" x14ac:dyDescent="0.25">
      <c r="A27" s="5" t="s">
        <v>15</v>
      </c>
      <c r="B27" s="24">
        <v>624</v>
      </c>
      <c r="C27" s="22">
        <v>207</v>
      </c>
      <c r="D27" s="22">
        <v>831</v>
      </c>
      <c r="E27" s="22">
        <v>0</v>
      </c>
      <c r="F27" s="22">
        <v>831</v>
      </c>
      <c r="G27" s="22">
        <v>0</v>
      </c>
      <c r="H27" s="23">
        <v>831</v>
      </c>
      <c r="I27" s="30"/>
      <c r="J27" s="24">
        <v>608</v>
      </c>
      <c r="K27" s="22">
        <v>606</v>
      </c>
      <c r="L27" s="22">
        <v>1214</v>
      </c>
      <c r="M27" s="22">
        <v>597</v>
      </c>
      <c r="N27" s="22">
        <v>1811</v>
      </c>
      <c r="O27" s="22">
        <v>624</v>
      </c>
      <c r="P27" s="23">
        <v>2435</v>
      </c>
      <c r="Q27" s="30"/>
      <c r="R27" s="24">
        <v>618</v>
      </c>
      <c r="S27" s="22">
        <v>600</v>
      </c>
      <c r="T27" s="22">
        <v>1218</v>
      </c>
      <c r="U27" s="22">
        <v>601</v>
      </c>
      <c r="V27" s="22">
        <v>1819</v>
      </c>
      <c r="W27" s="22">
        <v>600</v>
      </c>
      <c r="X27" s="23">
        <v>2419</v>
      </c>
      <c r="Y27" s="30"/>
      <c r="Z27" s="24">
        <v>635</v>
      </c>
      <c r="AA27" s="22">
        <v>637</v>
      </c>
      <c r="AB27" s="22">
        <v>1272</v>
      </c>
      <c r="AC27" s="22">
        <v>637</v>
      </c>
      <c r="AD27" s="22">
        <v>1909</v>
      </c>
      <c r="AE27" s="22">
        <v>589</v>
      </c>
      <c r="AF27" s="23">
        <v>2498</v>
      </c>
      <c r="AG27" s="30"/>
      <c r="AH27" s="24">
        <v>547</v>
      </c>
      <c r="AI27" s="22">
        <v>589</v>
      </c>
      <c r="AJ27" s="22">
        <v>1136</v>
      </c>
      <c r="AK27" s="22">
        <v>610</v>
      </c>
      <c r="AL27" s="22">
        <v>1746</v>
      </c>
      <c r="AM27" s="22">
        <v>611</v>
      </c>
      <c r="AN27" s="23">
        <v>2357</v>
      </c>
      <c r="AO27" s="30"/>
      <c r="AP27" s="24">
        <v>177</v>
      </c>
      <c r="AQ27" s="22">
        <v>529</v>
      </c>
      <c r="AR27" s="22">
        <v>706</v>
      </c>
      <c r="AS27" s="22">
        <v>558</v>
      </c>
      <c r="AT27" s="22">
        <v>1264</v>
      </c>
      <c r="AU27" s="22">
        <v>546</v>
      </c>
      <c r="AV27" s="23">
        <v>1810</v>
      </c>
    </row>
    <row r="28" spans="1:48" s="163" customFormat="1" ht="15" customHeight="1" outlineLevel="1" x14ac:dyDescent="0.25">
      <c r="A28" s="5" t="s">
        <v>16</v>
      </c>
      <c r="B28" s="160">
        <v>0</v>
      </c>
      <c r="C28" s="161">
        <v>0</v>
      </c>
      <c r="D28" s="161">
        <v>0</v>
      </c>
      <c r="E28" s="161">
        <v>0</v>
      </c>
      <c r="F28" s="161">
        <v>0</v>
      </c>
      <c r="G28" s="161">
        <v>0</v>
      </c>
      <c r="H28" s="162">
        <v>0</v>
      </c>
      <c r="I28" s="164"/>
      <c r="J28" s="160">
        <v>0</v>
      </c>
      <c r="K28" s="161">
        <v>0</v>
      </c>
      <c r="L28" s="161">
        <v>0</v>
      </c>
      <c r="M28" s="161">
        <v>0</v>
      </c>
      <c r="N28" s="161">
        <v>0</v>
      </c>
      <c r="O28" s="161">
        <v>0</v>
      </c>
      <c r="P28" s="162">
        <v>0</v>
      </c>
      <c r="Q28" s="164"/>
      <c r="R28" s="160">
        <v>0</v>
      </c>
      <c r="S28" s="161">
        <v>0</v>
      </c>
      <c r="T28" s="161">
        <v>0</v>
      </c>
      <c r="U28" s="161">
        <v>0</v>
      </c>
      <c r="V28" s="161">
        <v>0</v>
      </c>
      <c r="W28" s="161">
        <v>0</v>
      </c>
      <c r="X28" s="162">
        <v>0</v>
      </c>
      <c r="Y28" s="164"/>
      <c r="Z28" s="160">
        <v>0</v>
      </c>
      <c r="AA28" s="161">
        <v>0</v>
      </c>
      <c r="AB28" s="161">
        <v>0</v>
      </c>
      <c r="AC28" s="161">
        <v>0</v>
      </c>
      <c r="AD28" s="161">
        <v>0</v>
      </c>
      <c r="AE28" s="161">
        <v>0</v>
      </c>
      <c r="AF28" s="162">
        <v>0</v>
      </c>
      <c r="AG28" s="164"/>
      <c r="AH28" s="160">
        <v>0</v>
      </c>
      <c r="AI28" s="161">
        <v>0</v>
      </c>
      <c r="AJ28" s="161">
        <v>0</v>
      </c>
      <c r="AK28" s="161">
        <v>0</v>
      </c>
      <c r="AL28" s="161">
        <v>0</v>
      </c>
      <c r="AM28" s="161">
        <v>0</v>
      </c>
      <c r="AN28" s="162">
        <v>0</v>
      </c>
      <c r="AO28" s="164"/>
      <c r="AP28" s="160">
        <v>0</v>
      </c>
      <c r="AQ28" s="161">
        <v>0</v>
      </c>
      <c r="AR28" s="161">
        <v>0</v>
      </c>
      <c r="AS28" s="161">
        <v>0</v>
      </c>
      <c r="AT28" s="161">
        <v>0</v>
      </c>
      <c r="AU28" s="161">
        <v>0</v>
      </c>
      <c r="AV28" s="162">
        <v>0</v>
      </c>
    </row>
    <row r="29" spans="1:48" s="14" customFormat="1" x14ac:dyDescent="0.25">
      <c r="A29" s="16" t="s">
        <v>17</v>
      </c>
      <c r="B29" s="25">
        <v>540</v>
      </c>
      <c r="C29" s="20">
        <v>-2680</v>
      </c>
      <c r="D29" s="20">
        <v>-2140</v>
      </c>
      <c r="E29" s="20">
        <v>0</v>
      </c>
      <c r="F29" s="20">
        <v>-2140</v>
      </c>
      <c r="G29" s="20">
        <v>0</v>
      </c>
      <c r="H29" s="21">
        <v>-2140</v>
      </c>
      <c r="I29" s="26"/>
      <c r="J29" s="25">
        <v>-451</v>
      </c>
      <c r="K29" s="20">
        <v>2881</v>
      </c>
      <c r="L29" s="20">
        <v>2430</v>
      </c>
      <c r="M29" s="20">
        <v>2489</v>
      </c>
      <c r="N29" s="20">
        <v>4919</v>
      </c>
      <c r="O29" s="20">
        <v>4115</v>
      </c>
      <c r="P29" s="21">
        <v>9034</v>
      </c>
      <c r="Q29" s="26"/>
      <c r="R29" s="25">
        <v>-775</v>
      </c>
      <c r="S29" s="20">
        <v>238</v>
      </c>
      <c r="T29" s="20">
        <v>-537</v>
      </c>
      <c r="U29" s="20">
        <v>1335</v>
      </c>
      <c r="V29" s="20">
        <v>798</v>
      </c>
      <c r="W29" s="20">
        <v>4072</v>
      </c>
      <c r="X29" s="21">
        <v>4870</v>
      </c>
      <c r="Y29" s="26"/>
      <c r="Z29" s="25">
        <v>-2052</v>
      </c>
      <c r="AA29" s="20">
        <v>-65</v>
      </c>
      <c r="AB29" s="20">
        <v>-2117</v>
      </c>
      <c r="AC29" s="20">
        <v>722</v>
      </c>
      <c r="AD29" s="20">
        <v>-1395</v>
      </c>
      <c r="AE29" s="20">
        <v>4242</v>
      </c>
      <c r="AF29" s="21">
        <v>2847</v>
      </c>
      <c r="AG29" s="26"/>
      <c r="AH29" s="25">
        <v>-775</v>
      </c>
      <c r="AI29" s="20">
        <v>529</v>
      </c>
      <c r="AJ29" s="20">
        <v>-246</v>
      </c>
      <c r="AK29" s="20">
        <v>1285</v>
      </c>
      <c r="AL29" s="20">
        <v>1039</v>
      </c>
      <c r="AM29" s="20">
        <v>4250</v>
      </c>
      <c r="AN29" s="21">
        <v>5289</v>
      </c>
      <c r="AO29" s="26"/>
      <c r="AP29" s="25">
        <v>-570</v>
      </c>
      <c r="AQ29" s="20">
        <v>573</v>
      </c>
      <c r="AR29" s="20">
        <v>3</v>
      </c>
      <c r="AS29" s="20">
        <v>1844</v>
      </c>
      <c r="AT29" s="20">
        <v>1847</v>
      </c>
      <c r="AU29" s="20">
        <v>5158</v>
      </c>
      <c r="AV29" s="21">
        <v>7005</v>
      </c>
    </row>
    <row r="30" spans="1:48" ht="15" customHeight="1" outlineLevel="1" x14ac:dyDescent="0.25">
      <c r="A30" s="5" t="s">
        <v>18</v>
      </c>
      <c r="B30" s="27">
        <v>40</v>
      </c>
      <c r="C30" s="22">
        <v>153</v>
      </c>
      <c r="D30" s="22">
        <v>193</v>
      </c>
      <c r="E30" s="22">
        <v>0</v>
      </c>
      <c r="F30" s="22">
        <v>193</v>
      </c>
      <c r="G30" s="22">
        <v>0</v>
      </c>
      <c r="H30" s="23">
        <v>193</v>
      </c>
      <c r="I30" s="30"/>
      <c r="J30" s="27">
        <v>45</v>
      </c>
      <c r="K30" s="22">
        <v>-19</v>
      </c>
      <c r="L30" s="22">
        <v>26</v>
      </c>
      <c r="M30" s="22">
        <v>38</v>
      </c>
      <c r="N30" s="22">
        <v>64</v>
      </c>
      <c r="O30" s="22">
        <v>40</v>
      </c>
      <c r="P30" s="23">
        <v>104</v>
      </c>
      <c r="Q30" s="30"/>
      <c r="R30" s="27">
        <v>50</v>
      </c>
      <c r="S30" s="22">
        <v>45</v>
      </c>
      <c r="T30" s="22">
        <v>95</v>
      </c>
      <c r="U30" s="22">
        <v>42</v>
      </c>
      <c r="V30" s="22">
        <v>137</v>
      </c>
      <c r="W30" s="22">
        <v>46</v>
      </c>
      <c r="X30" s="23">
        <v>183</v>
      </c>
      <c r="Y30" s="30"/>
      <c r="Z30" s="27">
        <v>76</v>
      </c>
      <c r="AA30" s="22">
        <v>63</v>
      </c>
      <c r="AB30" s="22">
        <v>139</v>
      </c>
      <c r="AC30" s="22">
        <v>62</v>
      </c>
      <c r="AD30" s="22">
        <v>201</v>
      </c>
      <c r="AE30" s="22">
        <v>27</v>
      </c>
      <c r="AF30" s="23">
        <v>228</v>
      </c>
      <c r="AG30" s="30"/>
      <c r="AH30" s="27">
        <v>57</v>
      </c>
      <c r="AI30" s="22">
        <v>60</v>
      </c>
      <c r="AJ30" s="22">
        <v>117</v>
      </c>
      <c r="AK30" s="22">
        <v>89</v>
      </c>
      <c r="AL30" s="22">
        <v>206</v>
      </c>
      <c r="AM30" s="22">
        <v>52</v>
      </c>
      <c r="AN30" s="23">
        <v>258</v>
      </c>
      <c r="AO30" s="30"/>
      <c r="AP30" s="27">
        <v>3</v>
      </c>
      <c r="AQ30" s="22">
        <v>93</v>
      </c>
      <c r="AR30" s="22">
        <v>96</v>
      </c>
      <c r="AS30" s="22">
        <v>129</v>
      </c>
      <c r="AT30" s="22">
        <v>225</v>
      </c>
      <c r="AU30" s="22">
        <v>-60</v>
      </c>
      <c r="AV30" s="23">
        <v>165</v>
      </c>
    </row>
    <row r="31" spans="1:48" ht="15" customHeight="1" outlineLevel="1" x14ac:dyDescent="0.25">
      <c r="A31" s="5" t="s">
        <v>19</v>
      </c>
      <c r="B31" s="27">
        <v>0</v>
      </c>
      <c r="C31" s="22">
        <v>0</v>
      </c>
      <c r="D31" s="22">
        <v>0</v>
      </c>
      <c r="E31" s="22">
        <v>0</v>
      </c>
      <c r="F31" s="22">
        <v>0</v>
      </c>
      <c r="G31" s="22">
        <v>0</v>
      </c>
      <c r="H31" s="23">
        <v>0</v>
      </c>
      <c r="I31" s="30"/>
      <c r="J31" s="27">
        <v>0</v>
      </c>
      <c r="K31" s="22">
        <v>0</v>
      </c>
      <c r="L31" s="22">
        <v>0</v>
      </c>
      <c r="M31" s="22">
        <v>1</v>
      </c>
      <c r="N31" s="22">
        <v>1</v>
      </c>
      <c r="O31" s="22">
        <v>-1</v>
      </c>
      <c r="P31" s="23">
        <v>0</v>
      </c>
      <c r="Q31" s="30"/>
      <c r="R31" s="27">
        <v>0</v>
      </c>
      <c r="S31" s="22">
        <v>0</v>
      </c>
      <c r="T31" s="22">
        <v>0</v>
      </c>
      <c r="U31" s="22">
        <v>1</v>
      </c>
      <c r="V31" s="22">
        <v>1</v>
      </c>
      <c r="W31" s="22">
        <v>-1</v>
      </c>
      <c r="X31" s="23">
        <v>0</v>
      </c>
      <c r="Y31" s="30"/>
      <c r="Z31" s="27">
        <v>0</v>
      </c>
      <c r="AA31" s="22">
        <v>0</v>
      </c>
      <c r="AB31" s="22">
        <v>0</v>
      </c>
      <c r="AC31" s="22">
        <v>1</v>
      </c>
      <c r="AD31" s="22">
        <v>1</v>
      </c>
      <c r="AE31" s="22">
        <v>20</v>
      </c>
      <c r="AF31" s="23">
        <v>21</v>
      </c>
      <c r="AG31" s="30"/>
      <c r="AH31" s="27">
        <v>0</v>
      </c>
      <c r="AI31" s="22">
        <v>0</v>
      </c>
      <c r="AJ31" s="22">
        <v>0</v>
      </c>
      <c r="AK31" s="22">
        <v>1</v>
      </c>
      <c r="AL31" s="22">
        <v>1</v>
      </c>
      <c r="AM31" s="22">
        <v>-1</v>
      </c>
      <c r="AN31" s="23">
        <v>0</v>
      </c>
      <c r="AO31" s="30"/>
      <c r="AP31" s="27">
        <v>0</v>
      </c>
      <c r="AQ31" s="22">
        <v>0</v>
      </c>
      <c r="AR31" s="22">
        <v>0</v>
      </c>
      <c r="AS31" s="22">
        <v>0</v>
      </c>
      <c r="AT31" s="22">
        <v>0</v>
      </c>
      <c r="AU31" s="22">
        <v>0</v>
      </c>
      <c r="AV31" s="23">
        <v>0</v>
      </c>
    </row>
    <row r="32" spans="1:48" ht="15" customHeight="1" outlineLevel="1" x14ac:dyDescent="0.25">
      <c r="A32" s="5" t="s">
        <v>20</v>
      </c>
      <c r="B32" s="27">
        <v>490</v>
      </c>
      <c r="C32" s="22">
        <v>160</v>
      </c>
      <c r="D32" s="22">
        <v>650</v>
      </c>
      <c r="E32" s="22">
        <v>0</v>
      </c>
      <c r="F32" s="22">
        <v>650</v>
      </c>
      <c r="G32" s="22">
        <v>0</v>
      </c>
      <c r="H32" s="23">
        <v>650</v>
      </c>
      <c r="I32" s="30"/>
      <c r="J32" s="27">
        <v>519</v>
      </c>
      <c r="K32" s="22">
        <v>576</v>
      </c>
      <c r="L32" s="22">
        <v>1095</v>
      </c>
      <c r="M32" s="22">
        <v>544</v>
      </c>
      <c r="N32" s="22">
        <v>1639</v>
      </c>
      <c r="O32" s="22">
        <v>576</v>
      </c>
      <c r="P32" s="23">
        <v>2215</v>
      </c>
      <c r="Q32" s="30"/>
      <c r="R32" s="27">
        <v>675</v>
      </c>
      <c r="S32" s="22">
        <v>635</v>
      </c>
      <c r="T32" s="22">
        <v>1310</v>
      </c>
      <c r="U32" s="22">
        <v>617</v>
      </c>
      <c r="V32" s="22">
        <v>1927</v>
      </c>
      <c r="W32" s="22">
        <v>581</v>
      </c>
      <c r="X32" s="23">
        <v>2508</v>
      </c>
      <c r="Y32" s="30"/>
      <c r="Z32" s="27">
        <v>667</v>
      </c>
      <c r="AA32" s="22">
        <v>647</v>
      </c>
      <c r="AB32" s="22">
        <v>1314</v>
      </c>
      <c r="AC32" s="22">
        <v>708</v>
      </c>
      <c r="AD32" s="22">
        <v>2022</v>
      </c>
      <c r="AE32" s="22">
        <v>730</v>
      </c>
      <c r="AF32" s="23">
        <v>2752</v>
      </c>
      <c r="AG32" s="30"/>
      <c r="AH32" s="27">
        <v>998</v>
      </c>
      <c r="AI32" s="22">
        <v>887</v>
      </c>
      <c r="AJ32" s="22">
        <v>1885</v>
      </c>
      <c r="AK32" s="22">
        <v>928</v>
      </c>
      <c r="AL32" s="22">
        <v>2813</v>
      </c>
      <c r="AM32" s="22">
        <v>888</v>
      </c>
      <c r="AN32" s="23">
        <v>3701</v>
      </c>
      <c r="AO32" s="30"/>
      <c r="AP32" s="27">
        <v>385</v>
      </c>
      <c r="AQ32" s="22">
        <v>1142</v>
      </c>
      <c r="AR32" s="22">
        <v>1527</v>
      </c>
      <c r="AS32" s="22">
        <v>1159</v>
      </c>
      <c r="AT32" s="22">
        <v>2686</v>
      </c>
      <c r="AU32" s="22">
        <v>1142</v>
      </c>
      <c r="AV32" s="23">
        <v>3828</v>
      </c>
    </row>
    <row r="33" spans="1:48" ht="17.25" customHeight="1" outlineLevel="1" x14ac:dyDescent="0.4">
      <c r="A33" s="5" t="s">
        <v>21</v>
      </c>
      <c r="B33" s="31">
        <v>17</v>
      </c>
      <c r="C33" s="32">
        <v>-989</v>
      </c>
      <c r="D33" s="32">
        <v>-972</v>
      </c>
      <c r="E33" s="32">
        <v>0</v>
      </c>
      <c r="F33" s="32">
        <v>-972</v>
      </c>
      <c r="G33" s="32">
        <v>0</v>
      </c>
      <c r="H33" s="33">
        <v>-972</v>
      </c>
      <c r="I33" s="30"/>
      <c r="J33" s="31">
        <v>-278</v>
      </c>
      <c r="K33" s="32">
        <v>528</v>
      </c>
      <c r="L33" s="32">
        <v>250</v>
      </c>
      <c r="M33" s="32">
        <v>719</v>
      </c>
      <c r="N33" s="32">
        <v>969</v>
      </c>
      <c r="O33" s="32">
        <v>1295</v>
      </c>
      <c r="P33" s="33">
        <v>2264</v>
      </c>
      <c r="Q33" s="30"/>
      <c r="R33" s="31">
        <v>-510</v>
      </c>
      <c r="S33" s="32">
        <v>-143</v>
      </c>
      <c r="T33" s="32">
        <v>-653</v>
      </c>
      <c r="U33" s="32">
        <v>247</v>
      </c>
      <c r="V33" s="32">
        <v>-406</v>
      </c>
      <c r="W33" s="32">
        <v>1287</v>
      </c>
      <c r="X33" s="33">
        <v>881</v>
      </c>
      <c r="Y33" s="30"/>
      <c r="Z33" s="31">
        <v>-1020</v>
      </c>
      <c r="AA33" s="32">
        <v>-310</v>
      </c>
      <c r="AB33" s="32">
        <v>-1330</v>
      </c>
      <c r="AC33" s="32">
        <v>-15</v>
      </c>
      <c r="AD33" s="32">
        <v>-1345</v>
      </c>
      <c r="AE33" s="32">
        <v>1546</v>
      </c>
      <c r="AF33" s="33">
        <v>201</v>
      </c>
      <c r="AG33" s="30"/>
      <c r="AH33" s="31">
        <v>-771</v>
      </c>
      <c r="AI33" s="32">
        <v>-149</v>
      </c>
      <c r="AJ33" s="32">
        <v>-920</v>
      </c>
      <c r="AK33" s="32">
        <v>120</v>
      </c>
      <c r="AL33" s="32">
        <v>-800</v>
      </c>
      <c r="AM33" s="32">
        <v>1351</v>
      </c>
      <c r="AN33" s="33">
        <v>551</v>
      </c>
      <c r="AO33" s="30"/>
      <c r="AP33" s="31">
        <v>-383</v>
      </c>
      <c r="AQ33" s="32">
        <v>-251</v>
      </c>
      <c r="AR33" s="32">
        <v>-634</v>
      </c>
      <c r="AS33" s="32">
        <v>242</v>
      </c>
      <c r="AT33" s="32">
        <v>-392</v>
      </c>
      <c r="AU33" s="32">
        <v>1533</v>
      </c>
      <c r="AV33" s="33">
        <v>1141</v>
      </c>
    </row>
    <row r="34" spans="1:48" s="14" customFormat="1" x14ac:dyDescent="0.25">
      <c r="A34" s="16" t="s">
        <v>24</v>
      </c>
      <c r="B34" s="25">
        <v>-7</v>
      </c>
      <c r="C34" s="20">
        <v>-2004</v>
      </c>
      <c r="D34" s="20">
        <v>-2011</v>
      </c>
      <c r="E34" s="20">
        <v>0</v>
      </c>
      <c r="F34" s="20">
        <v>-2011</v>
      </c>
      <c r="G34" s="20">
        <v>0</v>
      </c>
      <c r="H34" s="21">
        <v>-2011</v>
      </c>
      <c r="I34" s="26"/>
      <c r="J34" s="25">
        <v>-737</v>
      </c>
      <c r="K34" s="20">
        <v>1796</v>
      </c>
      <c r="L34" s="20">
        <v>1059</v>
      </c>
      <c r="M34" s="20">
        <v>1187</v>
      </c>
      <c r="N34" s="20">
        <v>2246</v>
      </c>
      <c r="O34" s="20">
        <v>2205</v>
      </c>
      <c r="P34" s="21">
        <v>4451</v>
      </c>
      <c r="Q34" s="26"/>
      <c r="R34" s="25">
        <v>-990</v>
      </c>
      <c r="S34" s="20">
        <v>-299</v>
      </c>
      <c r="T34" s="20">
        <v>-1289</v>
      </c>
      <c r="U34" s="20">
        <v>428</v>
      </c>
      <c r="V34" s="20">
        <v>-861</v>
      </c>
      <c r="W34" s="20">
        <v>2159</v>
      </c>
      <c r="X34" s="21">
        <v>1298</v>
      </c>
      <c r="Y34" s="26"/>
      <c r="Z34" s="25">
        <v>-1775</v>
      </c>
      <c r="AA34" s="20">
        <v>-465</v>
      </c>
      <c r="AB34" s="20">
        <v>-2240</v>
      </c>
      <c r="AC34" s="20">
        <v>-34</v>
      </c>
      <c r="AD34" s="20">
        <v>-2274</v>
      </c>
      <c r="AE34" s="20">
        <v>1919</v>
      </c>
      <c r="AF34" s="21">
        <v>-355</v>
      </c>
      <c r="AG34" s="26"/>
      <c r="AH34" s="25">
        <v>-1059</v>
      </c>
      <c r="AI34" s="20">
        <v>-269</v>
      </c>
      <c r="AJ34" s="20">
        <v>-1328</v>
      </c>
      <c r="AK34" s="20">
        <v>147</v>
      </c>
      <c r="AL34" s="20">
        <v>-1181</v>
      </c>
      <c r="AM34" s="20">
        <v>1960</v>
      </c>
      <c r="AN34" s="21">
        <v>779</v>
      </c>
      <c r="AO34" s="26"/>
      <c r="AP34" s="25">
        <v>-575</v>
      </c>
      <c r="AQ34" s="20">
        <v>-411</v>
      </c>
      <c r="AR34" s="20">
        <v>-986</v>
      </c>
      <c r="AS34" s="20">
        <v>314</v>
      </c>
      <c r="AT34" s="20">
        <v>-672</v>
      </c>
      <c r="AU34" s="20">
        <v>2543</v>
      </c>
      <c r="AV34" s="21">
        <v>1871</v>
      </c>
    </row>
    <row r="35" spans="1:48" ht="15" customHeight="1" outlineLevel="1" x14ac:dyDescent="0.25">
      <c r="A35" s="34" t="s">
        <v>54</v>
      </c>
      <c r="B35" s="27"/>
      <c r="C35" s="36"/>
      <c r="D35" s="36"/>
      <c r="E35" s="36"/>
      <c r="F35" s="22"/>
      <c r="G35" s="36"/>
      <c r="H35" s="37"/>
      <c r="I35" s="30"/>
      <c r="J35" s="27"/>
      <c r="K35" s="36"/>
      <c r="L35" s="36"/>
      <c r="M35" s="36"/>
      <c r="N35" s="22"/>
      <c r="O35" s="36"/>
      <c r="P35" s="37"/>
      <c r="Q35" s="30"/>
      <c r="R35" s="27"/>
      <c r="S35" s="36"/>
      <c r="T35" s="36"/>
      <c r="U35" s="36"/>
      <c r="V35" s="22"/>
      <c r="W35" s="36"/>
      <c r="X35" s="37"/>
      <c r="Y35" s="30"/>
      <c r="Z35" s="27"/>
      <c r="AA35" s="36"/>
      <c r="AB35" s="36"/>
      <c r="AC35" s="36"/>
      <c r="AD35" s="22"/>
      <c r="AE35" s="36"/>
      <c r="AF35" s="37"/>
      <c r="AG35" s="30"/>
      <c r="AH35" s="27"/>
      <c r="AI35" s="36"/>
      <c r="AJ35" s="36"/>
      <c r="AK35" s="36"/>
      <c r="AL35" s="22"/>
      <c r="AM35" s="36"/>
      <c r="AN35" s="37"/>
      <c r="AO35" s="30"/>
      <c r="AP35" s="27"/>
      <c r="AQ35" s="36"/>
      <c r="AR35" s="36"/>
      <c r="AS35" s="36"/>
      <c r="AT35" s="22"/>
      <c r="AU35" s="36"/>
      <c r="AV35" s="37"/>
    </row>
    <row r="36" spans="1:48" ht="15" customHeight="1" outlineLevel="1" x14ac:dyDescent="0.25">
      <c r="A36" s="5" t="s">
        <v>21</v>
      </c>
      <c r="B36" s="27">
        <v>16</v>
      </c>
      <c r="C36" s="22">
        <v>0</v>
      </c>
      <c r="D36" s="22">
        <v>0</v>
      </c>
      <c r="E36" s="22">
        <v>0</v>
      </c>
      <c r="F36" s="22">
        <v>0</v>
      </c>
      <c r="G36" s="22">
        <v>0</v>
      </c>
      <c r="H36" s="23">
        <v>0</v>
      </c>
      <c r="I36" s="30"/>
      <c r="J36" s="27">
        <v>-278</v>
      </c>
      <c r="K36" s="22">
        <v>528</v>
      </c>
      <c r="L36" s="22">
        <v>250</v>
      </c>
      <c r="M36" s="22">
        <v>719</v>
      </c>
      <c r="N36" s="22">
        <v>969</v>
      </c>
      <c r="O36" s="22">
        <v>1295</v>
      </c>
      <c r="P36" s="23">
        <v>2264</v>
      </c>
      <c r="Q36" s="30"/>
      <c r="R36" s="27">
        <v>-510</v>
      </c>
      <c r="S36" s="22">
        <v>-143</v>
      </c>
      <c r="T36" s="22">
        <v>-653</v>
      </c>
      <c r="U36" s="22">
        <v>247</v>
      </c>
      <c r="V36" s="22">
        <v>-406</v>
      </c>
      <c r="W36" s="22">
        <v>1287</v>
      </c>
      <c r="X36" s="23">
        <v>881</v>
      </c>
      <c r="Y36" s="30"/>
      <c r="Z36" s="27">
        <v>-1020</v>
      </c>
      <c r="AA36" s="22">
        <v>-310</v>
      </c>
      <c r="AB36" s="22">
        <v>-1330</v>
      </c>
      <c r="AC36" s="22">
        <v>-15</v>
      </c>
      <c r="AD36" s="22">
        <v>-1345</v>
      </c>
      <c r="AE36" s="22">
        <v>1546</v>
      </c>
      <c r="AF36" s="23">
        <v>201</v>
      </c>
      <c r="AG36" s="30"/>
      <c r="AH36" s="27">
        <v>-771</v>
      </c>
      <c r="AI36" s="22">
        <v>-149</v>
      </c>
      <c r="AJ36" s="22">
        <v>-920</v>
      </c>
      <c r="AK36" s="22">
        <v>120</v>
      </c>
      <c r="AL36" s="22">
        <v>-800</v>
      </c>
      <c r="AM36" s="22">
        <v>1351</v>
      </c>
      <c r="AN36" s="23">
        <v>551</v>
      </c>
      <c r="AO36" s="30"/>
      <c r="AP36" s="27">
        <v>-383</v>
      </c>
      <c r="AQ36" s="22">
        <v>-251</v>
      </c>
      <c r="AR36" s="28">
        <v>-634</v>
      </c>
      <c r="AS36" s="22">
        <v>242</v>
      </c>
      <c r="AT36" s="28">
        <v>-392</v>
      </c>
      <c r="AU36" s="22">
        <v>1533</v>
      </c>
      <c r="AV36" s="23">
        <v>1141</v>
      </c>
    </row>
    <row r="37" spans="1:48" ht="15" customHeight="1" outlineLevel="1" x14ac:dyDescent="0.25">
      <c r="A37" s="42" t="s">
        <v>19</v>
      </c>
      <c r="B37" s="27">
        <v>0</v>
      </c>
      <c r="C37" s="22">
        <v>0</v>
      </c>
      <c r="D37" s="22">
        <v>0</v>
      </c>
      <c r="E37" s="22">
        <v>0</v>
      </c>
      <c r="F37" s="22">
        <v>0</v>
      </c>
      <c r="G37" s="22">
        <v>0</v>
      </c>
      <c r="H37" s="23">
        <v>0</v>
      </c>
      <c r="I37" s="30"/>
      <c r="J37" s="27">
        <v>0</v>
      </c>
      <c r="K37" s="22">
        <v>0</v>
      </c>
      <c r="L37" s="22">
        <v>0</v>
      </c>
      <c r="M37" s="22">
        <v>0</v>
      </c>
      <c r="N37" s="22">
        <v>0</v>
      </c>
      <c r="O37" s="22">
        <v>0</v>
      </c>
      <c r="P37" s="23">
        <v>0</v>
      </c>
      <c r="Q37" s="30"/>
      <c r="R37" s="27">
        <v>0</v>
      </c>
      <c r="S37" s="22">
        <v>0</v>
      </c>
      <c r="T37" s="22">
        <v>0</v>
      </c>
      <c r="U37" s="22">
        <v>1</v>
      </c>
      <c r="V37" s="22">
        <v>1</v>
      </c>
      <c r="W37" s="22">
        <v>-1</v>
      </c>
      <c r="X37" s="23">
        <v>0</v>
      </c>
      <c r="Y37" s="30"/>
      <c r="Z37" s="27">
        <v>0</v>
      </c>
      <c r="AA37" s="22">
        <v>0</v>
      </c>
      <c r="AB37" s="22">
        <v>0</v>
      </c>
      <c r="AC37" s="22">
        <v>1</v>
      </c>
      <c r="AD37" s="22">
        <v>1</v>
      </c>
      <c r="AE37" s="22">
        <v>20</v>
      </c>
      <c r="AF37" s="23">
        <v>21</v>
      </c>
      <c r="AG37" s="30"/>
      <c r="AH37" s="27">
        <v>0</v>
      </c>
      <c r="AI37" s="22">
        <v>0</v>
      </c>
      <c r="AJ37" s="22">
        <v>0</v>
      </c>
      <c r="AK37" s="22">
        <v>1</v>
      </c>
      <c r="AL37" s="22">
        <v>1</v>
      </c>
      <c r="AM37" s="22">
        <v>-1</v>
      </c>
      <c r="AN37" s="23">
        <v>0</v>
      </c>
      <c r="AO37" s="30"/>
      <c r="AP37" s="27">
        <v>0</v>
      </c>
      <c r="AQ37" s="22">
        <v>0</v>
      </c>
      <c r="AR37" s="28">
        <v>0</v>
      </c>
      <c r="AS37" s="22">
        <v>0</v>
      </c>
      <c r="AT37" s="28">
        <v>0</v>
      </c>
      <c r="AU37" s="22">
        <v>0</v>
      </c>
      <c r="AV37" s="23">
        <v>0</v>
      </c>
    </row>
    <row r="38" spans="1:48" ht="15" customHeight="1" outlineLevel="1" x14ac:dyDescent="0.25">
      <c r="A38" s="42" t="s">
        <v>20</v>
      </c>
      <c r="B38" s="27">
        <v>491</v>
      </c>
      <c r="C38" s="22">
        <v>0</v>
      </c>
      <c r="D38" s="22">
        <v>0</v>
      </c>
      <c r="E38" s="22">
        <v>0</v>
      </c>
      <c r="F38" s="22">
        <v>0</v>
      </c>
      <c r="G38" s="22">
        <v>0</v>
      </c>
      <c r="H38" s="23">
        <v>0</v>
      </c>
      <c r="I38" s="30"/>
      <c r="J38" s="27">
        <v>519</v>
      </c>
      <c r="K38" s="22">
        <v>576</v>
      </c>
      <c r="L38" s="22">
        <v>1095</v>
      </c>
      <c r="M38" s="22">
        <v>544</v>
      </c>
      <c r="N38" s="22">
        <v>1639</v>
      </c>
      <c r="O38" s="22">
        <v>576</v>
      </c>
      <c r="P38" s="23">
        <v>2215</v>
      </c>
      <c r="Q38" s="30"/>
      <c r="R38" s="27">
        <v>675</v>
      </c>
      <c r="S38" s="22">
        <v>635</v>
      </c>
      <c r="T38" s="22">
        <v>1310</v>
      </c>
      <c r="U38" s="22">
        <v>617</v>
      </c>
      <c r="V38" s="22">
        <v>1927</v>
      </c>
      <c r="W38" s="22">
        <v>581</v>
      </c>
      <c r="X38" s="23">
        <v>2508</v>
      </c>
      <c r="Y38" s="30"/>
      <c r="Z38" s="27">
        <v>667</v>
      </c>
      <c r="AA38" s="22">
        <v>647</v>
      </c>
      <c r="AB38" s="22">
        <v>1314</v>
      </c>
      <c r="AC38" s="22">
        <v>708</v>
      </c>
      <c r="AD38" s="22">
        <v>2022</v>
      </c>
      <c r="AE38" s="22">
        <v>730</v>
      </c>
      <c r="AF38" s="23">
        <v>2752</v>
      </c>
      <c r="AG38" s="30"/>
      <c r="AH38" s="27">
        <v>998</v>
      </c>
      <c r="AI38" s="22">
        <v>887</v>
      </c>
      <c r="AJ38" s="22">
        <v>1885</v>
      </c>
      <c r="AK38" s="22">
        <v>928</v>
      </c>
      <c r="AL38" s="22">
        <v>2813</v>
      </c>
      <c r="AM38" s="22">
        <v>888</v>
      </c>
      <c r="AN38" s="23">
        <v>3701</v>
      </c>
      <c r="AO38" s="30"/>
      <c r="AP38" s="27">
        <v>385</v>
      </c>
      <c r="AQ38" s="22">
        <v>1142</v>
      </c>
      <c r="AR38" s="28">
        <v>1527</v>
      </c>
      <c r="AS38" s="22">
        <v>1159</v>
      </c>
      <c r="AT38" s="28">
        <v>2686</v>
      </c>
      <c r="AU38" s="22">
        <v>1142</v>
      </c>
      <c r="AV38" s="23">
        <v>3828</v>
      </c>
    </row>
    <row r="39" spans="1:48" ht="15" customHeight="1" outlineLevel="1" x14ac:dyDescent="0.25">
      <c r="A39" s="42" t="s">
        <v>55</v>
      </c>
      <c r="B39" s="27">
        <v>865</v>
      </c>
      <c r="C39" s="22">
        <v>0</v>
      </c>
      <c r="D39" s="22">
        <v>0</v>
      </c>
      <c r="E39" s="22">
        <v>0</v>
      </c>
      <c r="F39" s="22">
        <v>0</v>
      </c>
      <c r="G39" s="22">
        <v>0</v>
      </c>
      <c r="H39" s="23">
        <v>0</v>
      </c>
      <c r="I39" s="30"/>
      <c r="J39" s="27">
        <v>811</v>
      </c>
      <c r="K39" s="36">
        <v>808</v>
      </c>
      <c r="L39" s="36">
        <v>1619</v>
      </c>
      <c r="M39" s="36">
        <v>787</v>
      </c>
      <c r="N39" s="22">
        <v>2406</v>
      </c>
      <c r="O39" s="36">
        <v>832</v>
      </c>
      <c r="P39" s="37">
        <v>3238</v>
      </c>
      <c r="Q39" s="30"/>
      <c r="R39" s="27">
        <v>840</v>
      </c>
      <c r="S39" s="36">
        <v>787</v>
      </c>
      <c r="T39" s="36">
        <v>1627</v>
      </c>
      <c r="U39" s="36">
        <v>798</v>
      </c>
      <c r="V39" s="22">
        <v>2425</v>
      </c>
      <c r="W39" s="36">
        <v>800</v>
      </c>
      <c r="X39" s="37">
        <v>3225</v>
      </c>
      <c r="Y39" s="30"/>
      <c r="Z39" s="27">
        <v>855</v>
      </c>
      <c r="AA39" s="36">
        <v>839</v>
      </c>
      <c r="AB39" s="36">
        <v>1694</v>
      </c>
      <c r="AC39" s="36">
        <v>845</v>
      </c>
      <c r="AD39" s="22">
        <v>2539</v>
      </c>
      <c r="AE39" s="36">
        <v>807</v>
      </c>
      <c r="AF39" s="37">
        <v>3346</v>
      </c>
      <c r="AG39" s="30"/>
      <c r="AH39" s="27">
        <v>704</v>
      </c>
      <c r="AI39" s="36">
        <v>771</v>
      </c>
      <c r="AJ39" s="36">
        <v>1475</v>
      </c>
      <c r="AK39" s="36">
        <v>796</v>
      </c>
      <c r="AL39" s="22">
        <v>2271</v>
      </c>
      <c r="AM39" s="36">
        <v>886</v>
      </c>
      <c r="AN39" s="37">
        <v>3157</v>
      </c>
      <c r="AO39" s="30"/>
      <c r="AP39" s="27">
        <v>209</v>
      </c>
      <c r="AQ39" s="36">
        <v>671</v>
      </c>
      <c r="AR39" s="28">
        <v>880</v>
      </c>
      <c r="AS39" s="36">
        <v>706</v>
      </c>
      <c r="AT39" s="28">
        <v>1586</v>
      </c>
      <c r="AU39" s="36">
        <v>694</v>
      </c>
      <c r="AV39" s="37">
        <v>2280</v>
      </c>
    </row>
    <row r="40" spans="1:48" s="163" customFormat="1" ht="15" customHeight="1" outlineLevel="1" x14ac:dyDescent="0.25">
      <c r="A40" s="42" t="s">
        <v>56</v>
      </c>
      <c r="B40" s="197">
        <v>0</v>
      </c>
      <c r="C40" s="22">
        <v>0</v>
      </c>
      <c r="D40" s="22">
        <v>0</v>
      </c>
      <c r="E40" s="22">
        <v>0</v>
      </c>
      <c r="F40" s="22">
        <v>0</v>
      </c>
      <c r="G40" s="22">
        <v>0</v>
      </c>
      <c r="H40" s="23">
        <v>0</v>
      </c>
      <c r="I40" s="164"/>
      <c r="J40" s="160">
        <v>41</v>
      </c>
      <c r="K40" s="192">
        <v>40</v>
      </c>
      <c r="L40" s="192">
        <v>81</v>
      </c>
      <c r="M40" s="192">
        <v>40</v>
      </c>
      <c r="N40" s="161">
        <v>121</v>
      </c>
      <c r="O40" s="192">
        <v>39</v>
      </c>
      <c r="P40" s="193">
        <v>160</v>
      </c>
      <c r="Q40" s="164"/>
      <c r="R40" s="160">
        <v>42</v>
      </c>
      <c r="S40" s="192">
        <v>42</v>
      </c>
      <c r="T40" s="192">
        <v>84</v>
      </c>
      <c r="U40" s="192">
        <v>41</v>
      </c>
      <c r="V40" s="161">
        <v>125</v>
      </c>
      <c r="W40" s="192">
        <v>41</v>
      </c>
      <c r="X40" s="193">
        <v>166</v>
      </c>
      <c r="Y40" s="164"/>
      <c r="Z40" s="160">
        <v>44</v>
      </c>
      <c r="AA40" s="192">
        <v>44</v>
      </c>
      <c r="AB40" s="192">
        <v>88</v>
      </c>
      <c r="AC40" s="192">
        <v>42</v>
      </c>
      <c r="AD40" s="161">
        <v>130</v>
      </c>
      <c r="AE40" s="192">
        <v>36</v>
      </c>
      <c r="AF40" s="193">
        <v>166</v>
      </c>
      <c r="AG40" s="164"/>
      <c r="AH40" s="160">
        <v>48</v>
      </c>
      <c r="AI40" s="192">
        <v>46</v>
      </c>
      <c r="AJ40" s="192">
        <v>94</v>
      </c>
      <c r="AK40" s="192">
        <v>46</v>
      </c>
      <c r="AL40" s="161">
        <v>140</v>
      </c>
      <c r="AM40" s="192">
        <v>44</v>
      </c>
      <c r="AN40" s="193">
        <v>184</v>
      </c>
      <c r="AO40" s="164"/>
      <c r="AP40" s="160">
        <v>0</v>
      </c>
      <c r="AQ40" s="192">
        <v>0</v>
      </c>
      <c r="AR40" s="192">
        <v>0</v>
      </c>
      <c r="AS40" s="192">
        <v>0</v>
      </c>
      <c r="AT40" s="161">
        <v>0</v>
      </c>
      <c r="AU40" s="192">
        <v>0</v>
      </c>
      <c r="AV40" s="193">
        <v>0</v>
      </c>
    </row>
    <row r="41" spans="1:48" s="14" customFormat="1" x14ac:dyDescent="0.25">
      <c r="A41" s="88" t="s">
        <v>57</v>
      </c>
      <c r="B41" s="25">
        <v>1365</v>
      </c>
      <c r="C41" s="22">
        <v>0</v>
      </c>
      <c r="D41" s="22">
        <v>0</v>
      </c>
      <c r="E41" s="22">
        <v>0</v>
      </c>
      <c r="F41" s="22">
        <v>0</v>
      </c>
      <c r="G41" s="22">
        <v>0</v>
      </c>
      <c r="H41" s="23">
        <v>0</v>
      </c>
      <c r="I41" s="26"/>
      <c r="J41" s="25">
        <v>356</v>
      </c>
      <c r="K41" s="20">
        <v>3748</v>
      </c>
      <c r="L41" s="20">
        <v>4104</v>
      </c>
      <c r="M41" s="20">
        <v>3277</v>
      </c>
      <c r="N41" s="20">
        <v>7381</v>
      </c>
      <c r="O41" s="20">
        <v>4947</v>
      </c>
      <c r="P41" s="21">
        <v>12328</v>
      </c>
      <c r="Q41" s="26"/>
      <c r="R41" s="25">
        <v>57</v>
      </c>
      <c r="S41" s="20">
        <v>1022</v>
      </c>
      <c r="T41" s="20">
        <v>1079</v>
      </c>
      <c r="U41" s="20">
        <v>2132</v>
      </c>
      <c r="V41" s="20">
        <v>3211</v>
      </c>
      <c r="W41" s="20">
        <v>4867</v>
      </c>
      <c r="X41" s="21">
        <v>8078</v>
      </c>
      <c r="Y41" s="26"/>
      <c r="Z41" s="25">
        <v>-1229</v>
      </c>
      <c r="AA41" s="20">
        <v>755</v>
      </c>
      <c r="AB41" s="20">
        <v>-474</v>
      </c>
      <c r="AC41" s="20">
        <v>1547</v>
      </c>
      <c r="AD41" s="20">
        <v>1073</v>
      </c>
      <c r="AE41" s="20">
        <v>5058</v>
      </c>
      <c r="AF41" s="21">
        <v>6131</v>
      </c>
      <c r="AG41" s="26"/>
      <c r="AH41" s="25">
        <v>-80</v>
      </c>
      <c r="AI41" s="20">
        <v>1286</v>
      </c>
      <c r="AJ41" s="20">
        <v>1206</v>
      </c>
      <c r="AK41" s="20">
        <v>2038</v>
      </c>
      <c r="AL41" s="20">
        <v>3244</v>
      </c>
      <c r="AM41" s="20">
        <v>5128</v>
      </c>
      <c r="AN41" s="21">
        <v>8372</v>
      </c>
      <c r="AO41" s="26"/>
      <c r="AP41" s="25">
        <v>-364</v>
      </c>
      <c r="AQ41" s="20">
        <v>1151</v>
      </c>
      <c r="AR41" s="20">
        <v>787</v>
      </c>
      <c r="AS41" s="20">
        <v>2421</v>
      </c>
      <c r="AT41" s="20">
        <v>3208</v>
      </c>
      <c r="AU41" s="20">
        <v>5912</v>
      </c>
      <c r="AV41" s="21">
        <v>9120</v>
      </c>
    </row>
    <row r="42" spans="1:48" ht="15" customHeight="1" outlineLevel="1" x14ac:dyDescent="0.25">
      <c r="A42" s="42" t="s">
        <v>58</v>
      </c>
      <c r="B42" s="27">
        <v>0</v>
      </c>
      <c r="C42" s="22">
        <v>0</v>
      </c>
      <c r="D42" s="22">
        <v>0</v>
      </c>
      <c r="E42" s="22">
        <v>0</v>
      </c>
      <c r="F42" s="22">
        <v>0</v>
      </c>
      <c r="G42" s="22">
        <v>0</v>
      </c>
      <c r="H42" s="23">
        <v>0</v>
      </c>
      <c r="I42" s="30"/>
      <c r="J42" s="27">
        <v>0</v>
      </c>
      <c r="K42" s="36">
        <v>40</v>
      </c>
      <c r="L42" s="36">
        <v>40</v>
      </c>
      <c r="M42" s="36">
        <v>0</v>
      </c>
      <c r="N42" s="22">
        <v>40</v>
      </c>
      <c r="O42" s="36">
        <v>0</v>
      </c>
      <c r="P42" s="37">
        <v>40</v>
      </c>
      <c r="Q42" s="30"/>
      <c r="R42" s="27">
        <v>0</v>
      </c>
      <c r="S42" s="36">
        <v>0</v>
      </c>
      <c r="T42" s="36">
        <v>0</v>
      </c>
      <c r="U42" s="36">
        <v>0</v>
      </c>
      <c r="V42" s="22">
        <v>0</v>
      </c>
      <c r="W42" s="36">
        <v>0</v>
      </c>
      <c r="X42" s="37">
        <v>0</v>
      </c>
      <c r="Y42" s="30"/>
      <c r="Z42" s="27">
        <v>0</v>
      </c>
      <c r="AA42" s="36">
        <v>0</v>
      </c>
      <c r="AB42" s="36">
        <v>0</v>
      </c>
      <c r="AC42" s="36">
        <v>0</v>
      </c>
      <c r="AD42" s="22">
        <v>0</v>
      </c>
      <c r="AE42" s="36">
        <v>0</v>
      </c>
      <c r="AF42" s="37">
        <v>0</v>
      </c>
      <c r="AG42" s="30"/>
      <c r="AH42" s="27">
        <v>0</v>
      </c>
      <c r="AI42" s="36">
        <v>0</v>
      </c>
      <c r="AJ42" s="36">
        <v>0</v>
      </c>
      <c r="AK42" s="36">
        <v>0</v>
      </c>
      <c r="AL42" s="22">
        <v>0</v>
      </c>
      <c r="AM42" s="36">
        <v>0</v>
      </c>
      <c r="AN42" s="37">
        <v>0</v>
      </c>
      <c r="AO42" s="30"/>
      <c r="AP42" s="27">
        <v>0</v>
      </c>
      <c r="AQ42" s="36">
        <v>0</v>
      </c>
      <c r="AR42" s="36">
        <v>0</v>
      </c>
      <c r="AS42" s="36">
        <v>0</v>
      </c>
      <c r="AT42" s="22">
        <v>0</v>
      </c>
      <c r="AU42" s="36">
        <v>0</v>
      </c>
      <c r="AV42" s="37">
        <v>0</v>
      </c>
    </row>
    <row r="43" spans="1:48" ht="15" customHeight="1" outlineLevel="1" x14ac:dyDescent="0.25">
      <c r="A43" s="42" t="s">
        <v>59</v>
      </c>
      <c r="B43" s="27">
        <v>0</v>
      </c>
      <c r="C43" s="22">
        <v>0</v>
      </c>
      <c r="D43" s="22">
        <v>0</v>
      </c>
      <c r="E43" s="22">
        <v>0</v>
      </c>
      <c r="F43" s="22">
        <v>0</v>
      </c>
      <c r="G43" s="22">
        <v>0</v>
      </c>
      <c r="H43" s="23">
        <v>0</v>
      </c>
      <c r="I43" s="30"/>
      <c r="J43" s="27">
        <v>0</v>
      </c>
      <c r="K43" s="36">
        <v>0</v>
      </c>
      <c r="L43" s="36">
        <v>0</v>
      </c>
      <c r="M43" s="36">
        <v>0</v>
      </c>
      <c r="N43" s="22">
        <v>0</v>
      </c>
      <c r="O43" s="36">
        <v>0</v>
      </c>
      <c r="P43" s="37">
        <v>0</v>
      </c>
      <c r="Q43" s="30"/>
      <c r="R43" s="27">
        <v>0</v>
      </c>
      <c r="S43" s="36">
        <v>0</v>
      </c>
      <c r="T43" s="36">
        <v>0</v>
      </c>
      <c r="U43" s="36">
        <v>0</v>
      </c>
      <c r="V43" s="22">
        <v>0</v>
      </c>
      <c r="W43" s="36">
        <v>0</v>
      </c>
      <c r="X43" s="37">
        <v>0</v>
      </c>
      <c r="Y43" s="30"/>
      <c r="Z43" s="27">
        <v>0</v>
      </c>
      <c r="AA43" s="36">
        <v>0</v>
      </c>
      <c r="AB43" s="36">
        <v>0</v>
      </c>
      <c r="AC43" s="36">
        <v>0</v>
      </c>
      <c r="AD43" s="22">
        <v>0</v>
      </c>
      <c r="AE43" s="36">
        <v>0</v>
      </c>
      <c r="AF43" s="37">
        <v>0</v>
      </c>
      <c r="AG43" s="30"/>
      <c r="AH43" s="27">
        <v>0</v>
      </c>
      <c r="AI43" s="36">
        <v>0</v>
      </c>
      <c r="AJ43" s="36">
        <v>0</v>
      </c>
      <c r="AK43" s="36">
        <v>0</v>
      </c>
      <c r="AL43" s="22">
        <v>0</v>
      </c>
      <c r="AM43" s="36">
        <v>0</v>
      </c>
      <c r="AN43" s="37">
        <v>0</v>
      </c>
      <c r="AO43" s="30"/>
      <c r="AP43" s="27">
        <v>0</v>
      </c>
      <c r="AQ43" s="36">
        <v>0</v>
      </c>
      <c r="AR43" s="36">
        <v>0</v>
      </c>
      <c r="AS43" s="36">
        <v>0</v>
      </c>
      <c r="AT43" s="22">
        <v>0</v>
      </c>
      <c r="AU43" s="36">
        <v>0</v>
      </c>
      <c r="AV43" s="37">
        <v>0</v>
      </c>
    </row>
    <row r="44" spans="1:48" ht="15" customHeight="1" outlineLevel="1" x14ac:dyDescent="0.25">
      <c r="A44" s="42" t="s">
        <v>60</v>
      </c>
      <c r="B44" s="27">
        <v>0</v>
      </c>
      <c r="C44" s="22">
        <v>0</v>
      </c>
      <c r="D44" s="22">
        <v>0</v>
      </c>
      <c r="E44" s="22">
        <v>0</v>
      </c>
      <c r="F44" s="22">
        <v>0</v>
      </c>
      <c r="G44" s="22">
        <v>0</v>
      </c>
      <c r="H44" s="23">
        <v>0</v>
      </c>
      <c r="I44" s="30"/>
      <c r="J44" s="27">
        <v>0</v>
      </c>
      <c r="K44" s="36">
        <v>0</v>
      </c>
      <c r="L44" s="36">
        <v>0</v>
      </c>
      <c r="M44" s="36">
        <v>0</v>
      </c>
      <c r="N44" s="22">
        <v>0</v>
      </c>
      <c r="O44" s="36">
        <v>0</v>
      </c>
      <c r="P44" s="37">
        <v>0</v>
      </c>
      <c r="Q44" s="30"/>
      <c r="R44" s="27">
        <v>0</v>
      </c>
      <c r="S44" s="36">
        <v>0</v>
      </c>
      <c r="T44" s="36">
        <v>0</v>
      </c>
      <c r="U44" s="36">
        <v>0</v>
      </c>
      <c r="V44" s="22">
        <v>0</v>
      </c>
      <c r="W44" s="36">
        <v>0</v>
      </c>
      <c r="X44" s="37">
        <v>0</v>
      </c>
      <c r="Y44" s="30"/>
      <c r="Z44" s="27">
        <v>0</v>
      </c>
      <c r="AA44" s="36">
        <v>0</v>
      </c>
      <c r="AB44" s="36">
        <v>0</v>
      </c>
      <c r="AC44" s="36">
        <v>0</v>
      </c>
      <c r="AD44" s="22">
        <v>0</v>
      </c>
      <c r="AE44" s="36">
        <v>0</v>
      </c>
      <c r="AF44" s="37">
        <v>0</v>
      </c>
      <c r="AG44" s="30"/>
      <c r="AH44" s="27">
        <v>0</v>
      </c>
      <c r="AI44" s="36">
        <v>0</v>
      </c>
      <c r="AJ44" s="36">
        <v>0</v>
      </c>
      <c r="AK44" s="36">
        <v>0</v>
      </c>
      <c r="AL44" s="22">
        <v>0</v>
      </c>
      <c r="AM44" s="36">
        <v>0</v>
      </c>
      <c r="AN44" s="37">
        <v>0</v>
      </c>
      <c r="AO44" s="30"/>
      <c r="AP44" s="27">
        <v>0</v>
      </c>
      <c r="AQ44" s="36">
        <v>0</v>
      </c>
      <c r="AR44" s="36">
        <v>0</v>
      </c>
      <c r="AS44" s="36">
        <v>0</v>
      </c>
      <c r="AT44" s="22">
        <v>0</v>
      </c>
      <c r="AU44" s="36">
        <v>0</v>
      </c>
      <c r="AV44" s="37">
        <v>0</v>
      </c>
    </row>
    <row r="45" spans="1:48" ht="15" customHeight="1" outlineLevel="1" x14ac:dyDescent="0.25">
      <c r="A45" s="42" t="s">
        <v>61</v>
      </c>
      <c r="B45" s="27">
        <v>0</v>
      </c>
      <c r="C45" s="22">
        <v>0</v>
      </c>
      <c r="D45" s="22">
        <v>0</v>
      </c>
      <c r="E45" s="22">
        <v>0</v>
      </c>
      <c r="F45" s="22">
        <v>0</v>
      </c>
      <c r="G45" s="22">
        <v>0</v>
      </c>
      <c r="H45" s="23">
        <v>0</v>
      </c>
      <c r="I45" s="30"/>
      <c r="J45" s="27">
        <v>0</v>
      </c>
      <c r="K45" s="36">
        <v>0</v>
      </c>
      <c r="L45" s="36">
        <v>0</v>
      </c>
      <c r="M45" s="36">
        <v>0</v>
      </c>
      <c r="N45" s="22">
        <v>0</v>
      </c>
      <c r="O45" s="36">
        <v>0</v>
      </c>
      <c r="P45" s="37">
        <v>0</v>
      </c>
      <c r="Q45" s="30"/>
      <c r="R45" s="27">
        <v>0</v>
      </c>
      <c r="S45" s="36">
        <v>0</v>
      </c>
      <c r="T45" s="36">
        <v>0</v>
      </c>
      <c r="U45" s="36">
        <v>0</v>
      </c>
      <c r="V45" s="22">
        <v>0</v>
      </c>
      <c r="W45" s="36">
        <v>0</v>
      </c>
      <c r="X45" s="37">
        <v>0</v>
      </c>
      <c r="Y45" s="30"/>
      <c r="Z45" s="27">
        <v>0</v>
      </c>
      <c r="AA45" s="36">
        <v>0</v>
      </c>
      <c r="AB45" s="36">
        <v>0</v>
      </c>
      <c r="AC45" s="36">
        <v>0</v>
      </c>
      <c r="AD45" s="22">
        <v>0</v>
      </c>
      <c r="AE45" s="36">
        <v>0</v>
      </c>
      <c r="AF45" s="37">
        <v>0</v>
      </c>
      <c r="AG45" s="30"/>
      <c r="AH45" s="27">
        <v>0</v>
      </c>
      <c r="AI45" s="36">
        <v>0</v>
      </c>
      <c r="AJ45" s="36">
        <v>0</v>
      </c>
      <c r="AK45" s="36">
        <v>0</v>
      </c>
      <c r="AL45" s="22">
        <v>0</v>
      </c>
      <c r="AM45" s="36">
        <v>0</v>
      </c>
      <c r="AN45" s="37">
        <v>0</v>
      </c>
      <c r="AO45" s="30"/>
      <c r="AP45" s="27">
        <v>0</v>
      </c>
      <c r="AQ45" s="36">
        <v>0</v>
      </c>
      <c r="AR45" s="36">
        <v>0</v>
      </c>
      <c r="AS45" s="36">
        <v>0</v>
      </c>
      <c r="AT45" s="22">
        <v>0</v>
      </c>
      <c r="AU45" s="36">
        <v>0</v>
      </c>
      <c r="AV45" s="37">
        <v>0</v>
      </c>
    </row>
    <row r="46" spans="1:48" ht="15" customHeight="1" outlineLevel="1" x14ac:dyDescent="0.25">
      <c r="A46" s="42" t="s">
        <v>62</v>
      </c>
      <c r="B46" s="27">
        <v>0</v>
      </c>
      <c r="C46" s="22">
        <v>0</v>
      </c>
      <c r="D46" s="22">
        <v>0</v>
      </c>
      <c r="E46" s="22">
        <v>0</v>
      </c>
      <c r="F46" s="22">
        <v>0</v>
      </c>
      <c r="G46" s="22">
        <v>0</v>
      </c>
      <c r="H46" s="23">
        <v>0</v>
      </c>
      <c r="I46" s="30"/>
      <c r="J46" s="27">
        <v>0</v>
      </c>
      <c r="K46" s="36">
        <v>0</v>
      </c>
      <c r="L46" s="36">
        <v>0</v>
      </c>
      <c r="M46" s="36">
        <v>0</v>
      </c>
      <c r="N46" s="22">
        <v>0</v>
      </c>
      <c r="O46" s="36">
        <v>0</v>
      </c>
      <c r="P46" s="37">
        <v>0</v>
      </c>
      <c r="Q46" s="30"/>
      <c r="R46" s="27">
        <v>59</v>
      </c>
      <c r="S46" s="36">
        <v>0</v>
      </c>
      <c r="T46" s="36">
        <v>59</v>
      </c>
      <c r="U46" s="36">
        <v>0</v>
      </c>
      <c r="V46" s="22">
        <v>59</v>
      </c>
      <c r="W46" s="36">
        <v>0</v>
      </c>
      <c r="X46" s="37">
        <v>59</v>
      </c>
      <c r="Y46" s="30"/>
      <c r="Z46" s="27">
        <v>0</v>
      </c>
      <c r="AA46" s="36">
        <v>0</v>
      </c>
      <c r="AB46" s="36">
        <v>0</v>
      </c>
      <c r="AC46" s="36">
        <v>0</v>
      </c>
      <c r="AD46" s="22">
        <v>0</v>
      </c>
      <c r="AE46" s="36">
        <v>0</v>
      </c>
      <c r="AF46" s="37">
        <v>0</v>
      </c>
      <c r="AG46" s="30"/>
      <c r="AH46" s="27">
        <v>0</v>
      </c>
      <c r="AI46" s="36">
        <v>0</v>
      </c>
      <c r="AJ46" s="36">
        <v>0</v>
      </c>
      <c r="AK46" s="36">
        <v>0</v>
      </c>
      <c r="AL46" s="22">
        <v>0</v>
      </c>
      <c r="AM46" s="36">
        <v>0</v>
      </c>
      <c r="AN46" s="37">
        <v>0</v>
      </c>
      <c r="AO46" s="30"/>
      <c r="AP46" s="27">
        <v>0</v>
      </c>
      <c r="AQ46" s="36">
        <v>0</v>
      </c>
      <c r="AR46" s="36">
        <v>0</v>
      </c>
      <c r="AS46" s="36">
        <v>0</v>
      </c>
      <c r="AT46" s="22">
        <v>0</v>
      </c>
      <c r="AU46" s="36">
        <v>0</v>
      </c>
      <c r="AV46" s="37">
        <v>0</v>
      </c>
    </row>
    <row r="47" spans="1:48" ht="15" customHeight="1" outlineLevel="1" x14ac:dyDescent="0.25">
      <c r="A47" s="42" t="s">
        <v>63</v>
      </c>
      <c r="B47" s="27">
        <v>0</v>
      </c>
      <c r="C47" s="22">
        <v>0</v>
      </c>
      <c r="D47" s="22">
        <v>0</v>
      </c>
      <c r="E47" s="22">
        <v>0</v>
      </c>
      <c r="F47" s="22">
        <v>0</v>
      </c>
      <c r="G47" s="22">
        <v>0</v>
      </c>
      <c r="H47" s="23">
        <v>0</v>
      </c>
      <c r="I47" s="30"/>
      <c r="J47" s="27">
        <v>0</v>
      </c>
      <c r="K47" s="36">
        <v>0</v>
      </c>
      <c r="L47" s="36">
        <v>0</v>
      </c>
      <c r="M47" s="36">
        <v>0</v>
      </c>
      <c r="N47" s="22">
        <v>0</v>
      </c>
      <c r="O47" s="36">
        <v>0</v>
      </c>
      <c r="P47" s="37">
        <v>0</v>
      </c>
      <c r="Q47" s="30"/>
      <c r="R47" s="27">
        <v>0</v>
      </c>
      <c r="S47" s="36">
        <v>0</v>
      </c>
      <c r="T47" s="36">
        <v>0</v>
      </c>
      <c r="U47" s="36">
        <v>0</v>
      </c>
      <c r="V47" s="22">
        <v>0</v>
      </c>
      <c r="W47" s="36">
        <v>0</v>
      </c>
      <c r="X47" s="37">
        <v>0</v>
      </c>
      <c r="Y47" s="30"/>
      <c r="Z47" s="27">
        <v>0</v>
      </c>
      <c r="AA47" s="36">
        <v>0</v>
      </c>
      <c r="AB47" s="36">
        <v>0</v>
      </c>
      <c r="AC47" s="36">
        <v>0</v>
      </c>
      <c r="AD47" s="22">
        <v>0</v>
      </c>
      <c r="AE47" s="36">
        <v>0</v>
      </c>
      <c r="AF47" s="37">
        <v>0</v>
      </c>
      <c r="AG47" s="30"/>
      <c r="AH47" s="27">
        <v>0</v>
      </c>
      <c r="AI47" s="36">
        <v>0</v>
      </c>
      <c r="AJ47" s="36">
        <v>0</v>
      </c>
      <c r="AK47" s="36">
        <v>0</v>
      </c>
      <c r="AL47" s="22">
        <v>0</v>
      </c>
      <c r="AM47" s="36">
        <v>0</v>
      </c>
      <c r="AN47" s="37">
        <v>0</v>
      </c>
      <c r="AO47" s="30"/>
      <c r="AP47" s="27">
        <v>0</v>
      </c>
      <c r="AQ47" s="36">
        <v>0</v>
      </c>
      <c r="AR47" s="36">
        <v>0</v>
      </c>
      <c r="AS47" s="36">
        <v>0</v>
      </c>
      <c r="AT47" s="22">
        <v>0</v>
      </c>
      <c r="AU47" s="36">
        <v>0</v>
      </c>
      <c r="AV47" s="37">
        <v>0</v>
      </c>
    </row>
    <row r="48" spans="1:48" ht="15" customHeight="1" outlineLevel="1" x14ac:dyDescent="0.25">
      <c r="A48" s="42" t="s">
        <v>14</v>
      </c>
      <c r="B48" s="27">
        <v>125</v>
      </c>
      <c r="C48" s="22">
        <v>0</v>
      </c>
      <c r="D48" s="22">
        <v>0</v>
      </c>
      <c r="E48" s="22">
        <v>0</v>
      </c>
      <c r="F48" s="22">
        <v>0</v>
      </c>
      <c r="G48" s="22">
        <v>0</v>
      </c>
      <c r="H48" s="23">
        <v>0</v>
      </c>
      <c r="I48" s="30"/>
      <c r="J48" s="27">
        <v>125</v>
      </c>
      <c r="K48" s="36">
        <v>125</v>
      </c>
      <c r="L48" s="36">
        <v>250</v>
      </c>
      <c r="M48" s="36">
        <v>125</v>
      </c>
      <c r="N48" s="22">
        <v>375</v>
      </c>
      <c r="O48" s="36">
        <v>125</v>
      </c>
      <c r="P48" s="37">
        <v>500</v>
      </c>
      <c r="Q48" s="30"/>
      <c r="R48" s="27">
        <v>125</v>
      </c>
      <c r="S48" s="36">
        <v>125</v>
      </c>
      <c r="T48" s="36">
        <v>250</v>
      </c>
      <c r="U48" s="36">
        <v>125</v>
      </c>
      <c r="V48" s="22">
        <v>375</v>
      </c>
      <c r="W48" s="36">
        <v>125</v>
      </c>
      <c r="X48" s="37">
        <v>500</v>
      </c>
      <c r="Y48" s="30"/>
      <c r="Z48" s="27">
        <v>125</v>
      </c>
      <c r="AA48" s="36">
        <v>125</v>
      </c>
      <c r="AB48" s="36">
        <v>250</v>
      </c>
      <c r="AC48" s="36">
        <v>125</v>
      </c>
      <c r="AD48" s="22">
        <v>375</v>
      </c>
      <c r="AE48" s="36">
        <v>125</v>
      </c>
      <c r="AF48" s="37">
        <v>500</v>
      </c>
      <c r="AG48" s="30"/>
      <c r="AH48" s="27">
        <v>125</v>
      </c>
      <c r="AI48" s="36">
        <v>125</v>
      </c>
      <c r="AJ48" s="36">
        <v>250</v>
      </c>
      <c r="AK48" s="36">
        <v>125</v>
      </c>
      <c r="AL48" s="22">
        <v>375</v>
      </c>
      <c r="AM48" s="36">
        <v>125</v>
      </c>
      <c r="AN48" s="37">
        <v>500</v>
      </c>
      <c r="AO48" s="30"/>
      <c r="AP48" s="27">
        <v>42</v>
      </c>
      <c r="AQ48" s="36">
        <v>126</v>
      </c>
      <c r="AR48" s="28">
        <v>168</v>
      </c>
      <c r="AS48" s="36">
        <v>82</v>
      </c>
      <c r="AT48" s="28">
        <v>250</v>
      </c>
      <c r="AU48" s="36">
        <v>167</v>
      </c>
      <c r="AV48" s="86">
        <v>417</v>
      </c>
    </row>
    <row r="49" spans="1:48" ht="17.25" customHeight="1" outlineLevel="1" x14ac:dyDescent="0.4">
      <c r="A49" s="42" t="s">
        <v>34</v>
      </c>
      <c r="B49" s="31">
        <v>0</v>
      </c>
      <c r="C49" s="32">
        <v>0</v>
      </c>
      <c r="D49" s="32">
        <v>0</v>
      </c>
      <c r="E49" s="32">
        <v>0</v>
      </c>
      <c r="F49" s="32">
        <v>0</v>
      </c>
      <c r="G49" s="32">
        <v>0</v>
      </c>
      <c r="H49" s="33">
        <v>0</v>
      </c>
      <c r="I49" s="30"/>
      <c r="J49" s="31">
        <v>0</v>
      </c>
      <c r="K49" s="32">
        <v>0</v>
      </c>
      <c r="L49" s="32">
        <v>0</v>
      </c>
      <c r="M49" s="32">
        <v>0</v>
      </c>
      <c r="N49" s="32">
        <v>0</v>
      </c>
      <c r="O49" s="32">
        <v>0</v>
      </c>
      <c r="P49" s="33">
        <v>0</v>
      </c>
      <c r="Q49" s="30"/>
      <c r="R49" s="31">
        <v>1</v>
      </c>
      <c r="S49" s="32">
        <v>-1</v>
      </c>
      <c r="T49" s="32">
        <v>0</v>
      </c>
      <c r="U49" s="32">
        <v>0</v>
      </c>
      <c r="V49" s="32">
        <v>0</v>
      </c>
      <c r="W49" s="32">
        <v>9</v>
      </c>
      <c r="X49" s="33">
        <v>9</v>
      </c>
      <c r="Y49" s="30"/>
      <c r="Z49" s="31">
        <v>0</v>
      </c>
      <c r="AA49" s="32">
        <v>11</v>
      </c>
      <c r="AB49" s="32">
        <v>11</v>
      </c>
      <c r="AC49" s="32">
        <v>-11</v>
      </c>
      <c r="AD49" s="32">
        <v>0</v>
      </c>
      <c r="AE49" s="32">
        <v>-63</v>
      </c>
      <c r="AF49" s="33">
        <v>-63</v>
      </c>
      <c r="AG49" s="30"/>
      <c r="AH49" s="31">
        <v>0</v>
      </c>
      <c r="AI49" s="32">
        <v>0</v>
      </c>
      <c r="AJ49" s="32">
        <v>0</v>
      </c>
      <c r="AK49" s="32">
        <v>0</v>
      </c>
      <c r="AL49" s="32">
        <v>0</v>
      </c>
      <c r="AM49" s="32">
        <v>0</v>
      </c>
      <c r="AN49" s="33">
        <v>0</v>
      </c>
      <c r="AO49" s="30"/>
      <c r="AP49" s="31">
        <v>0</v>
      </c>
      <c r="AQ49" s="32">
        <v>0</v>
      </c>
      <c r="AR49" s="32">
        <v>0</v>
      </c>
      <c r="AS49" s="32">
        <v>132</v>
      </c>
      <c r="AT49" s="32">
        <v>132</v>
      </c>
      <c r="AU49" s="32">
        <v>-270</v>
      </c>
      <c r="AV49" s="33">
        <v>-138</v>
      </c>
    </row>
    <row r="50" spans="1:48" s="14" customFormat="1" x14ac:dyDescent="0.25">
      <c r="A50" s="88" t="s">
        <v>65</v>
      </c>
      <c r="B50" s="25">
        <v>1490</v>
      </c>
      <c r="C50" s="22">
        <v>0</v>
      </c>
      <c r="D50" s="22">
        <v>0</v>
      </c>
      <c r="E50" s="22">
        <v>0</v>
      </c>
      <c r="F50" s="22">
        <v>0</v>
      </c>
      <c r="G50" s="22">
        <v>0</v>
      </c>
      <c r="H50" s="23">
        <v>0</v>
      </c>
      <c r="I50" s="26"/>
      <c r="J50" s="25">
        <v>481</v>
      </c>
      <c r="K50" s="39">
        <v>3913</v>
      </c>
      <c r="L50" s="39">
        <v>4394</v>
      </c>
      <c r="M50" s="39">
        <v>3402</v>
      </c>
      <c r="N50" s="39">
        <v>7796</v>
      </c>
      <c r="O50" s="39">
        <v>5072</v>
      </c>
      <c r="P50" s="40">
        <v>12868</v>
      </c>
      <c r="Q50" s="26"/>
      <c r="R50" s="25">
        <v>242</v>
      </c>
      <c r="S50" s="39">
        <v>1146</v>
      </c>
      <c r="T50" s="39">
        <v>1388</v>
      </c>
      <c r="U50" s="39">
        <v>2257</v>
      </c>
      <c r="V50" s="39">
        <v>3645</v>
      </c>
      <c r="W50" s="39">
        <v>5001</v>
      </c>
      <c r="X50" s="40">
        <v>8646</v>
      </c>
      <c r="Y50" s="26"/>
      <c r="Z50" s="25">
        <v>-1104</v>
      </c>
      <c r="AA50" s="39">
        <v>891</v>
      </c>
      <c r="AB50" s="39">
        <v>-213</v>
      </c>
      <c r="AC50" s="39">
        <v>1661</v>
      </c>
      <c r="AD50" s="39">
        <v>1448</v>
      </c>
      <c r="AE50" s="39">
        <v>5120</v>
      </c>
      <c r="AF50" s="40">
        <v>6568</v>
      </c>
      <c r="AG50" s="26"/>
      <c r="AH50" s="25">
        <v>45</v>
      </c>
      <c r="AI50" s="39">
        <v>1411</v>
      </c>
      <c r="AJ50" s="39">
        <v>1456</v>
      </c>
      <c r="AK50" s="39">
        <v>2163</v>
      </c>
      <c r="AL50" s="39">
        <v>3619</v>
      </c>
      <c r="AM50" s="39">
        <v>5253</v>
      </c>
      <c r="AN50" s="40">
        <v>8872</v>
      </c>
      <c r="AO50" s="26"/>
      <c r="AP50" s="25">
        <v>-322</v>
      </c>
      <c r="AQ50" s="39">
        <v>1277</v>
      </c>
      <c r="AR50" s="20">
        <v>955</v>
      </c>
      <c r="AS50" s="39">
        <v>2635</v>
      </c>
      <c r="AT50" s="20">
        <v>3590</v>
      </c>
      <c r="AU50" s="39">
        <v>5809</v>
      </c>
      <c r="AV50" s="21">
        <v>9399</v>
      </c>
    </row>
    <row r="51" spans="1:48" x14ac:dyDescent="0.25">
      <c r="A51" s="42"/>
      <c r="B51" s="25"/>
      <c r="C51" s="30"/>
      <c r="D51" s="30"/>
      <c r="E51" s="30"/>
      <c r="F51" s="30"/>
      <c r="G51" s="30"/>
      <c r="H51" s="41"/>
      <c r="I51" s="30"/>
      <c r="J51" s="25"/>
      <c r="K51" s="30"/>
      <c r="L51" s="30"/>
      <c r="M51" s="30"/>
      <c r="N51" s="30"/>
      <c r="O51" s="30"/>
      <c r="P51" s="41"/>
      <c r="Q51" s="30"/>
      <c r="R51" s="25"/>
      <c r="S51" s="30"/>
      <c r="T51" s="30"/>
      <c r="U51" s="30"/>
      <c r="V51" s="30"/>
      <c r="W51" s="30"/>
      <c r="X51" s="41"/>
      <c r="Y51" s="30"/>
      <c r="Z51" s="25"/>
      <c r="AA51" s="30"/>
      <c r="AB51" s="30"/>
      <c r="AC51" s="30"/>
      <c r="AD51" s="30"/>
      <c r="AE51" s="30"/>
      <c r="AF51" s="41"/>
      <c r="AG51" s="30"/>
      <c r="AH51" s="25"/>
      <c r="AI51" s="30"/>
      <c r="AJ51" s="30"/>
      <c r="AK51" s="30"/>
      <c r="AL51" s="30"/>
      <c r="AM51" s="30"/>
      <c r="AN51" s="41"/>
      <c r="AO51" s="30"/>
      <c r="AP51" s="25"/>
      <c r="AQ51" s="30"/>
      <c r="AR51" s="30"/>
      <c r="AS51" s="30"/>
      <c r="AT51" s="30"/>
      <c r="AU51" s="30"/>
      <c r="AV51" s="41"/>
    </row>
    <row r="52" spans="1:48" x14ac:dyDescent="0.25">
      <c r="A52" s="42"/>
      <c r="B52" s="25"/>
      <c r="C52" s="30"/>
      <c r="D52" s="30"/>
      <c r="E52" s="30"/>
      <c r="F52" s="30"/>
      <c r="G52" s="30"/>
      <c r="H52" s="41"/>
      <c r="I52" s="30"/>
      <c r="J52" s="25"/>
      <c r="K52" s="30"/>
      <c r="L52" s="30"/>
      <c r="M52" s="30"/>
      <c r="N52" s="30"/>
      <c r="O52" s="30"/>
      <c r="P52" s="41"/>
      <c r="Q52" s="30"/>
      <c r="R52" s="25"/>
      <c r="S52" s="30"/>
      <c r="T52" s="30"/>
      <c r="U52" s="30"/>
      <c r="V52" s="30"/>
      <c r="W52" s="30"/>
      <c r="X52" s="41"/>
      <c r="Y52" s="30"/>
      <c r="Z52" s="25"/>
      <c r="AA52" s="30"/>
      <c r="AB52" s="30"/>
      <c r="AC52" s="30"/>
      <c r="AD52" s="30"/>
      <c r="AE52" s="30"/>
      <c r="AF52" s="41"/>
      <c r="AG52" s="30"/>
      <c r="AH52" s="25"/>
      <c r="AI52" s="30"/>
      <c r="AJ52" s="30"/>
      <c r="AK52" s="30"/>
      <c r="AL52" s="30"/>
      <c r="AM52" s="30"/>
      <c r="AN52" s="41"/>
      <c r="AO52" s="30"/>
      <c r="AP52" s="25"/>
      <c r="AQ52" s="30"/>
      <c r="AR52" s="30"/>
      <c r="AS52" s="30"/>
      <c r="AT52" s="30"/>
      <c r="AU52" s="30"/>
      <c r="AV52" s="41"/>
    </row>
    <row r="53" spans="1:48" s="14" customFormat="1" x14ac:dyDescent="0.25">
      <c r="A53" s="88" t="s">
        <v>25</v>
      </c>
      <c r="B53" s="25">
        <v>101960</v>
      </c>
      <c r="C53" s="39">
        <v>0</v>
      </c>
      <c r="D53" s="39"/>
      <c r="E53" s="39">
        <v>0</v>
      </c>
      <c r="F53" s="39"/>
      <c r="G53" s="39">
        <v>0</v>
      </c>
      <c r="H53" s="40"/>
      <c r="I53" s="26"/>
      <c r="J53" s="25">
        <v>104277</v>
      </c>
      <c r="K53" s="39">
        <v>105908</v>
      </c>
      <c r="L53" s="39"/>
      <c r="M53" s="39">
        <v>112123</v>
      </c>
      <c r="N53" s="39"/>
      <c r="O53" s="39">
        <v>111966</v>
      </c>
      <c r="P53" s="40"/>
      <c r="Q53" s="26"/>
      <c r="R53" s="25">
        <v>102042</v>
      </c>
      <c r="S53" s="39">
        <v>106902</v>
      </c>
      <c r="T53" s="39">
        <v>0</v>
      </c>
      <c r="U53" s="39">
        <v>113350</v>
      </c>
      <c r="V53" s="39">
        <v>0</v>
      </c>
      <c r="W53" s="39">
        <v>110136</v>
      </c>
      <c r="X53" s="40"/>
      <c r="Y53" s="26"/>
      <c r="Z53" s="25">
        <v>103297</v>
      </c>
      <c r="AA53" s="39">
        <v>106196</v>
      </c>
      <c r="AB53" s="39">
        <v>0</v>
      </c>
      <c r="AC53" s="39">
        <v>110196</v>
      </c>
      <c r="AD53" s="39">
        <v>0</v>
      </c>
      <c r="AE53" s="39">
        <v>107705</v>
      </c>
      <c r="AF53" s="40"/>
      <c r="AG53" s="26"/>
      <c r="AH53" s="25">
        <v>95806</v>
      </c>
      <c r="AI53" s="39">
        <v>109354</v>
      </c>
      <c r="AJ53" s="39">
        <v>0</v>
      </c>
      <c r="AK53" s="39">
        <v>116246</v>
      </c>
      <c r="AL53" s="39">
        <v>0</v>
      </c>
      <c r="AM53" s="39">
        <v>115197</v>
      </c>
      <c r="AN53" s="40"/>
      <c r="AO53" s="26"/>
      <c r="AP53" s="25">
        <v>89626</v>
      </c>
      <c r="AQ53" s="20">
        <v>100248</v>
      </c>
      <c r="AR53" s="39">
        <v>0</v>
      </c>
      <c r="AS53" s="20">
        <v>103159</v>
      </c>
      <c r="AT53" s="39">
        <v>0</v>
      </c>
      <c r="AU53" s="20">
        <v>104200</v>
      </c>
      <c r="AV53" s="40"/>
    </row>
    <row r="54" spans="1:48" s="14" customFormat="1" ht="7.5" customHeight="1" x14ac:dyDescent="0.25">
      <c r="A54" s="88"/>
      <c r="B54" s="25"/>
      <c r="C54" s="39"/>
      <c r="D54" s="39"/>
      <c r="E54" s="39"/>
      <c r="F54" s="39"/>
      <c r="G54" s="39"/>
      <c r="H54" s="40"/>
      <c r="I54" s="30"/>
      <c r="J54" s="25"/>
      <c r="K54" s="39"/>
      <c r="L54" s="39"/>
      <c r="M54" s="26"/>
      <c r="N54" s="39"/>
      <c r="O54" s="39"/>
      <c r="P54" s="40"/>
      <c r="Q54" s="30"/>
      <c r="R54" s="25"/>
      <c r="S54" s="39"/>
      <c r="T54" s="39"/>
      <c r="U54" s="26"/>
      <c r="V54" s="39"/>
      <c r="W54" s="39"/>
      <c r="X54" s="40"/>
      <c r="Y54" s="30"/>
      <c r="Z54" s="25"/>
      <c r="AA54" s="39"/>
      <c r="AB54" s="39"/>
      <c r="AC54" s="26"/>
      <c r="AD54" s="39"/>
      <c r="AE54" s="39"/>
      <c r="AF54" s="40"/>
      <c r="AG54" s="30"/>
      <c r="AH54" s="25"/>
      <c r="AI54" s="39"/>
      <c r="AJ54" s="39"/>
      <c r="AK54" s="26"/>
      <c r="AL54" s="39"/>
      <c r="AM54" s="39"/>
      <c r="AN54" s="40"/>
      <c r="AO54" s="30"/>
      <c r="AP54" s="25"/>
      <c r="AQ54" s="39"/>
      <c r="AR54" s="39"/>
      <c r="AS54" s="39"/>
      <c r="AT54" s="39"/>
      <c r="AU54" s="39"/>
      <c r="AV54" s="40"/>
    </row>
    <row r="55" spans="1:48" ht="15" customHeight="1" outlineLevel="1" x14ac:dyDescent="0.25">
      <c r="A55" s="42" t="s">
        <v>26</v>
      </c>
      <c r="B55" s="27">
        <v>40737</v>
      </c>
      <c r="C55" s="38">
        <v>0</v>
      </c>
      <c r="D55" s="28"/>
      <c r="E55" s="38">
        <v>0</v>
      </c>
      <c r="F55" s="28"/>
      <c r="G55" s="38">
        <v>0</v>
      </c>
      <c r="H55" s="29"/>
      <c r="I55" s="30"/>
      <c r="J55" s="27">
        <v>44755</v>
      </c>
      <c r="K55" s="38">
        <v>44463</v>
      </c>
      <c r="L55" s="28"/>
      <c r="M55" s="36">
        <v>45463</v>
      </c>
      <c r="N55" s="28"/>
      <c r="O55" s="38">
        <v>42275</v>
      </c>
      <c r="P55" s="29"/>
      <c r="Q55" s="30"/>
      <c r="R55" s="27">
        <v>46122</v>
      </c>
      <c r="S55" s="38">
        <v>47320</v>
      </c>
      <c r="T55" s="28">
        <v>0</v>
      </c>
      <c r="U55" s="36">
        <v>47466</v>
      </c>
      <c r="V55" s="28">
        <v>0</v>
      </c>
      <c r="W55" s="38">
        <v>41607</v>
      </c>
      <c r="X55" s="29"/>
      <c r="Y55" s="30"/>
      <c r="Z55" s="27">
        <v>47319</v>
      </c>
      <c r="AA55" s="38">
        <v>49335</v>
      </c>
      <c r="AB55" s="28">
        <v>0</v>
      </c>
      <c r="AC55" s="36">
        <v>48228</v>
      </c>
      <c r="AD55" s="28">
        <v>0</v>
      </c>
      <c r="AE55" s="38">
        <v>44921</v>
      </c>
      <c r="AF55" s="29"/>
      <c r="AG55" s="30"/>
      <c r="AH55" s="27">
        <v>42880</v>
      </c>
      <c r="AI55" s="38">
        <v>50597</v>
      </c>
      <c r="AJ55" s="28">
        <v>0</v>
      </c>
      <c r="AK55" s="36">
        <v>53597</v>
      </c>
      <c r="AL55" s="28">
        <v>0</v>
      </c>
      <c r="AM55" s="38">
        <v>51684</v>
      </c>
      <c r="AN55" s="29"/>
      <c r="AO55" s="30"/>
      <c r="AP55" s="27">
        <v>42446</v>
      </c>
      <c r="AQ55" s="28">
        <v>47654</v>
      </c>
      <c r="AR55" s="28">
        <v>0</v>
      </c>
      <c r="AS55" s="28">
        <v>47502</v>
      </c>
      <c r="AT55" s="28">
        <v>0</v>
      </c>
      <c r="AU55" s="28">
        <v>45960</v>
      </c>
      <c r="AV55" s="29"/>
    </row>
    <row r="56" spans="1:48" ht="15" customHeight="1" outlineLevel="1" x14ac:dyDescent="0.25">
      <c r="A56" s="42" t="s">
        <v>28</v>
      </c>
      <c r="B56" s="27">
        <v>28334</v>
      </c>
      <c r="C56" s="38">
        <v>0</v>
      </c>
      <c r="D56" s="28"/>
      <c r="E56" s="38">
        <v>0</v>
      </c>
      <c r="F56" s="28"/>
      <c r="G56" s="38">
        <v>0</v>
      </c>
      <c r="H56" s="29"/>
      <c r="I56" s="30"/>
      <c r="J56" s="27">
        <v>31334</v>
      </c>
      <c r="K56" s="38">
        <v>31477</v>
      </c>
      <c r="L56" s="28"/>
      <c r="M56" s="36">
        <v>35522</v>
      </c>
      <c r="N56" s="28"/>
      <c r="O56" s="38">
        <v>36795</v>
      </c>
      <c r="P56" s="29"/>
      <c r="Q56" s="30"/>
      <c r="R56" s="27">
        <v>29222</v>
      </c>
      <c r="S56" s="38">
        <v>33198</v>
      </c>
      <c r="T56" s="28">
        <v>0</v>
      </c>
      <c r="U56" s="36">
        <v>39086</v>
      </c>
      <c r="V56" s="28">
        <v>0</v>
      </c>
      <c r="W56" s="38">
        <v>39589</v>
      </c>
      <c r="X56" s="29"/>
      <c r="Y56" s="30"/>
      <c r="Z56" s="27">
        <v>30144</v>
      </c>
      <c r="AA56" s="38">
        <v>31492</v>
      </c>
      <c r="AB56" s="28">
        <v>0</v>
      </c>
      <c r="AC56" s="36">
        <v>36633</v>
      </c>
      <c r="AD56" s="28">
        <v>0</v>
      </c>
      <c r="AE56" s="38">
        <v>35530</v>
      </c>
      <c r="AF56" s="29"/>
      <c r="AG56" s="30"/>
      <c r="AH56" s="27">
        <v>28605</v>
      </c>
      <c r="AI56" s="38">
        <v>34706</v>
      </c>
      <c r="AJ56" s="28">
        <v>0</v>
      </c>
      <c r="AK56" s="36">
        <v>38451</v>
      </c>
      <c r="AL56" s="28">
        <v>0</v>
      </c>
      <c r="AM56" s="38">
        <v>37354</v>
      </c>
      <c r="AN56" s="29"/>
      <c r="AO56" s="30"/>
      <c r="AP56" s="27">
        <v>24255</v>
      </c>
      <c r="AQ56" s="28">
        <v>30068</v>
      </c>
      <c r="AR56" s="28">
        <v>0</v>
      </c>
      <c r="AS56" s="28">
        <v>32820</v>
      </c>
      <c r="AT56" s="28">
        <v>0</v>
      </c>
      <c r="AU56" s="28">
        <v>32860</v>
      </c>
      <c r="AV56" s="29"/>
    </row>
    <row r="57" spans="1:48" s="14" customFormat="1" x14ac:dyDescent="0.25">
      <c r="A57" s="88" t="s">
        <v>29</v>
      </c>
      <c r="B57" s="25">
        <v>69071</v>
      </c>
      <c r="C57" s="39">
        <v>0</v>
      </c>
      <c r="D57" s="20"/>
      <c r="E57" s="39">
        <v>0</v>
      </c>
      <c r="F57" s="20"/>
      <c r="G57" s="39">
        <v>0</v>
      </c>
      <c r="H57" s="21"/>
      <c r="I57" s="26"/>
      <c r="J57" s="25">
        <v>76089</v>
      </c>
      <c r="K57" s="39">
        <v>75940</v>
      </c>
      <c r="L57" s="20"/>
      <c r="M57" s="39">
        <v>80985</v>
      </c>
      <c r="N57" s="20"/>
      <c r="O57" s="39">
        <v>79070</v>
      </c>
      <c r="P57" s="21"/>
      <c r="Q57" s="26"/>
      <c r="R57" s="25">
        <v>75344</v>
      </c>
      <c r="S57" s="39">
        <v>80518</v>
      </c>
      <c r="T57" s="20">
        <v>0</v>
      </c>
      <c r="U57" s="39">
        <v>86552</v>
      </c>
      <c r="V57" s="20">
        <v>0</v>
      </c>
      <c r="W57" s="39">
        <v>81196</v>
      </c>
      <c r="X57" s="21"/>
      <c r="Y57" s="26"/>
      <c r="Z57" s="25">
        <v>77463</v>
      </c>
      <c r="AA57" s="39">
        <v>80827</v>
      </c>
      <c r="AB57" s="20">
        <v>0</v>
      </c>
      <c r="AC57" s="39">
        <v>84861</v>
      </c>
      <c r="AD57" s="20">
        <v>0</v>
      </c>
      <c r="AE57" s="39">
        <v>80451</v>
      </c>
      <c r="AF57" s="21"/>
      <c r="AG57" s="26"/>
      <c r="AH57" s="25">
        <v>71485</v>
      </c>
      <c r="AI57" s="39">
        <v>85303</v>
      </c>
      <c r="AJ57" s="20">
        <v>0</v>
      </c>
      <c r="AK57" s="39">
        <v>92048</v>
      </c>
      <c r="AL57" s="20">
        <v>0</v>
      </c>
      <c r="AM57" s="39">
        <v>89038</v>
      </c>
      <c r="AN57" s="21"/>
      <c r="AO57" s="26"/>
      <c r="AP57" s="25">
        <v>66701</v>
      </c>
      <c r="AQ57" s="20">
        <v>77722</v>
      </c>
      <c r="AR57" s="20">
        <v>0</v>
      </c>
      <c r="AS57" s="20">
        <v>80322</v>
      </c>
      <c r="AT57" s="20">
        <v>0</v>
      </c>
      <c r="AU57" s="20">
        <v>78820</v>
      </c>
      <c r="AV57" s="21"/>
    </row>
    <row r="58" spans="1:48" s="14" customFormat="1" ht="9" customHeight="1" x14ac:dyDescent="0.25">
      <c r="A58" s="88"/>
      <c r="B58" s="25"/>
      <c r="C58" s="39"/>
      <c r="D58" s="20"/>
      <c r="E58" s="39"/>
      <c r="F58" s="20"/>
      <c r="G58" s="39"/>
      <c r="H58" s="21"/>
      <c r="I58" s="30"/>
      <c r="J58" s="25"/>
      <c r="K58" s="39"/>
      <c r="L58" s="20"/>
      <c r="M58" s="39"/>
      <c r="N58" s="20"/>
      <c r="O58" s="39"/>
      <c r="P58" s="21"/>
      <c r="Q58" s="30"/>
      <c r="R58" s="25"/>
      <c r="S58" s="39"/>
      <c r="T58" s="20"/>
      <c r="U58" s="39"/>
      <c r="V58" s="20"/>
      <c r="W58" s="39"/>
      <c r="X58" s="21"/>
      <c r="Y58" s="30"/>
      <c r="Z58" s="25"/>
      <c r="AA58" s="39"/>
      <c r="AB58" s="20"/>
      <c r="AC58" s="39"/>
      <c r="AD58" s="20"/>
      <c r="AE58" s="39"/>
      <c r="AF58" s="21"/>
      <c r="AG58" s="30"/>
      <c r="AH58" s="25"/>
      <c r="AI58" s="39"/>
      <c r="AJ58" s="20"/>
      <c r="AK58" s="39"/>
      <c r="AL58" s="20"/>
      <c r="AM58" s="39"/>
      <c r="AN58" s="21"/>
      <c r="AO58" s="30"/>
      <c r="AP58" s="25"/>
      <c r="AQ58" s="39"/>
      <c r="AR58" s="20"/>
      <c r="AS58" s="39"/>
      <c r="AT58" s="20"/>
      <c r="AU58" s="39"/>
      <c r="AV58" s="21"/>
    </row>
    <row r="59" spans="1:48" s="14" customFormat="1" x14ac:dyDescent="0.25">
      <c r="A59" s="88" t="s">
        <v>36</v>
      </c>
      <c r="B59" s="25">
        <v>32889</v>
      </c>
      <c r="C59" s="39"/>
      <c r="D59" s="20"/>
      <c r="E59" s="39"/>
      <c r="F59" s="20"/>
      <c r="G59" s="39"/>
      <c r="H59" s="21"/>
      <c r="I59" s="26"/>
      <c r="J59" s="25">
        <v>28188</v>
      </c>
      <c r="K59" s="39">
        <v>29968</v>
      </c>
      <c r="L59" s="20"/>
      <c r="M59" s="39">
        <v>31138</v>
      </c>
      <c r="N59" s="20"/>
      <c r="O59" s="39">
        <v>32896</v>
      </c>
      <c r="P59" s="21"/>
      <c r="Q59" s="26"/>
      <c r="R59" s="25">
        <v>26698</v>
      </c>
      <c r="S59" s="39">
        <v>26384</v>
      </c>
      <c r="T59" s="20"/>
      <c r="U59" s="39">
        <v>26798</v>
      </c>
      <c r="V59" s="20"/>
      <c r="W59" s="39">
        <v>28940</v>
      </c>
      <c r="X59" s="21"/>
      <c r="Y59" s="26"/>
      <c r="Z59" s="25">
        <v>25834</v>
      </c>
      <c r="AA59" s="39">
        <v>25369</v>
      </c>
      <c r="AB59" s="20">
        <v>0</v>
      </c>
      <c r="AC59" s="39">
        <v>25335</v>
      </c>
      <c r="AD59" s="20">
        <v>0</v>
      </c>
      <c r="AE59" s="39">
        <v>27254</v>
      </c>
      <c r="AF59" s="21"/>
      <c r="AG59" s="26"/>
      <c r="AH59" s="25">
        <v>24321</v>
      </c>
      <c r="AI59" s="39">
        <v>24051</v>
      </c>
      <c r="AJ59" s="20">
        <v>0</v>
      </c>
      <c r="AK59" s="39">
        <v>24198</v>
      </c>
      <c r="AL59" s="20">
        <v>0</v>
      </c>
      <c r="AM59" s="39">
        <v>26159</v>
      </c>
      <c r="AN59" s="21"/>
      <c r="AO59" s="26"/>
      <c r="AP59" s="25">
        <v>22925</v>
      </c>
      <c r="AQ59" s="20">
        <v>22526</v>
      </c>
      <c r="AR59" s="20">
        <v>0</v>
      </c>
      <c r="AS59" s="20">
        <v>22837</v>
      </c>
      <c r="AT59" s="20">
        <v>0</v>
      </c>
      <c r="AU59" s="20">
        <v>25380</v>
      </c>
      <c r="AV59" s="21"/>
    </row>
    <row r="60" spans="1:48" ht="7.5" customHeight="1" x14ac:dyDescent="0.25">
      <c r="A60" s="42"/>
      <c r="B60" s="25"/>
      <c r="C60" s="36"/>
      <c r="D60" s="36"/>
      <c r="E60" s="36"/>
      <c r="F60" s="36"/>
      <c r="G60" s="36"/>
      <c r="H60" s="37"/>
      <c r="I60" s="30"/>
      <c r="J60" s="25"/>
      <c r="K60" s="36"/>
      <c r="L60" s="36"/>
      <c r="M60" s="36"/>
      <c r="N60" s="36"/>
      <c r="O60" s="36"/>
      <c r="P60" s="37"/>
      <c r="Q60" s="30"/>
      <c r="R60" s="25"/>
      <c r="S60" s="36"/>
      <c r="T60" s="36"/>
      <c r="U60" s="36"/>
      <c r="V60" s="36"/>
      <c r="W60" s="36"/>
      <c r="X60" s="37"/>
      <c r="Y60" s="30"/>
      <c r="Z60" s="25"/>
      <c r="AA60" s="36"/>
      <c r="AB60" s="36"/>
      <c r="AC60" s="36"/>
      <c r="AD60" s="36"/>
      <c r="AE60" s="36"/>
      <c r="AF60" s="37"/>
      <c r="AG60" s="30"/>
      <c r="AH60" s="25"/>
      <c r="AI60" s="36"/>
      <c r="AJ60" s="36"/>
      <c r="AK60" s="36"/>
      <c r="AL60" s="36"/>
      <c r="AM60" s="36"/>
      <c r="AN60" s="37"/>
      <c r="AO60" s="30"/>
      <c r="AP60" s="25"/>
      <c r="AQ60" s="36"/>
      <c r="AR60" s="36"/>
      <c r="AS60" s="36"/>
      <c r="AT60" s="36"/>
      <c r="AU60" s="36"/>
      <c r="AV60" s="37"/>
    </row>
    <row r="61" spans="1:48" s="14" customFormat="1" x14ac:dyDescent="0.25">
      <c r="A61" s="88" t="s">
        <v>66</v>
      </c>
      <c r="B61" s="25">
        <v>289</v>
      </c>
      <c r="C61" s="39">
        <v>320</v>
      </c>
      <c r="D61" s="39"/>
      <c r="E61" s="39">
        <v>0</v>
      </c>
      <c r="F61" s="39"/>
      <c r="G61" s="39">
        <v>0</v>
      </c>
      <c r="H61" s="40"/>
      <c r="I61" s="30"/>
      <c r="J61" s="25">
        <v>448</v>
      </c>
      <c r="K61" s="39">
        <v>662</v>
      </c>
      <c r="L61" s="39"/>
      <c r="M61" s="39">
        <v>888</v>
      </c>
      <c r="N61" s="39"/>
      <c r="O61" s="39">
        <v>971</v>
      </c>
      <c r="P61" s="40"/>
      <c r="Q61" s="30"/>
      <c r="R61" s="25">
        <v>89</v>
      </c>
      <c r="S61" s="39">
        <v>164</v>
      </c>
      <c r="T61" s="39"/>
      <c r="U61" s="39">
        <v>442</v>
      </c>
      <c r="V61" s="39"/>
      <c r="W61" s="39">
        <v>554</v>
      </c>
      <c r="X61" s="40"/>
      <c r="Y61" s="30"/>
      <c r="Z61" s="25">
        <v>217</v>
      </c>
      <c r="AA61" s="39">
        <v>340</v>
      </c>
      <c r="AB61" s="39"/>
      <c r="AC61" s="39">
        <v>405</v>
      </c>
      <c r="AD61" s="39"/>
      <c r="AE61" s="39">
        <v>496</v>
      </c>
      <c r="AF61" s="40"/>
      <c r="AG61" s="30"/>
      <c r="AH61" s="25">
        <v>242</v>
      </c>
      <c r="AI61" s="39">
        <v>320</v>
      </c>
      <c r="AJ61" s="39"/>
      <c r="AK61" s="39">
        <v>410</v>
      </c>
      <c r="AL61" s="39"/>
      <c r="AM61" s="39">
        <v>795</v>
      </c>
      <c r="AN61" s="40"/>
      <c r="AO61" s="30"/>
      <c r="AP61" s="25">
        <v>148</v>
      </c>
      <c r="AQ61" s="20">
        <v>243</v>
      </c>
      <c r="AR61" s="39"/>
      <c r="AS61" s="20">
        <v>124</v>
      </c>
      <c r="AT61" s="39"/>
      <c r="AU61" s="20">
        <v>455</v>
      </c>
      <c r="AV61" s="40"/>
    </row>
    <row r="62" spans="1:48" s="14" customFormat="1" ht="7.5" customHeight="1" x14ac:dyDescent="0.25">
      <c r="A62" s="88"/>
      <c r="B62" s="25"/>
      <c r="C62" s="39"/>
      <c r="D62" s="39"/>
      <c r="E62" s="26"/>
      <c r="F62" s="39"/>
      <c r="G62" s="39"/>
      <c r="H62" s="40"/>
      <c r="I62" s="30"/>
      <c r="J62" s="25"/>
      <c r="K62" s="39"/>
      <c r="L62" s="39"/>
      <c r="M62" s="26"/>
      <c r="N62" s="39"/>
      <c r="O62" s="39"/>
      <c r="P62" s="40"/>
      <c r="Q62" s="30"/>
      <c r="R62" s="25"/>
      <c r="S62" s="39"/>
      <c r="T62" s="39"/>
      <c r="U62" s="26"/>
      <c r="V62" s="39"/>
      <c r="W62" s="39"/>
      <c r="X62" s="40"/>
      <c r="Y62" s="30"/>
      <c r="Z62" s="25"/>
      <c r="AA62" s="39"/>
      <c r="AB62" s="39"/>
      <c r="AC62" s="26"/>
      <c r="AD62" s="39"/>
      <c r="AE62" s="39"/>
      <c r="AF62" s="40"/>
      <c r="AG62" s="30"/>
      <c r="AH62" s="25"/>
      <c r="AI62" s="39"/>
      <c r="AJ62" s="39"/>
      <c r="AK62" s="26"/>
      <c r="AL62" s="39"/>
      <c r="AM62" s="39"/>
      <c r="AN62" s="40"/>
      <c r="AO62" s="30"/>
      <c r="AP62" s="25"/>
      <c r="AQ62" s="39"/>
      <c r="AR62" s="39"/>
      <c r="AS62" s="39"/>
      <c r="AT62" s="39"/>
      <c r="AU62" s="39"/>
      <c r="AV62" s="40"/>
    </row>
    <row r="63" spans="1:48" s="14" customFormat="1" x14ac:dyDescent="0.25">
      <c r="A63" s="121" t="s">
        <v>67</v>
      </c>
      <c r="B63" s="25"/>
      <c r="C63" s="26"/>
      <c r="D63" s="39"/>
      <c r="E63" s="26"/>
      <c r="F63" s="39"/>
      <c r="G63" s="26"/>
      <c r="H63" s="40"/>
      <c r="I63" s="30"/>
      <c r="J63" s="25"/>
      <c r="K63" s="26"/>
      <c r="L63" s="39"/>
      <c r="M63" s="26"/>
      <c r="N63" s="39"/>
      <c r="O63" s="26"/>
      <c r="P63" s="40"/>
      <c r="Q63" s="30"/>
      <c r="R63" s="25"/>
      <c r="S63" s="26"/>
      <c r="T63" s="39"/>
      <c r="U63" s="26"/>
      <c r="V63" s="39"/>
      <c r="W63" s="26"/>
      <c r="X63" s="40"/>
      <c r="Y63" s="30"/>
      <c r="Z63" s="25"/>
      <c r="AA63" s="26"/>
      <c r="AB63" s="39"/>
      <c r="AC63" s="26"/>
      <c r="AD63" s="39"/>
      <c r="AE63" s="26"/>
      <c r="AF63" s="40"/>
      <c r="AG63" s="30"/>
      <c r="AH63" s="25"/>
      <c r="AI63" s="26"/>
      <c r="AJ63" s="39"/>
      <c r="AK63" s="26"/>
      <c r="AL63" s="39"/>
      <c r="AM63" s="26"/>
      <c r="AN63" s="40"/>
      <c r="AO63" s="30"/>
      <c r="AP63" s="25"/>
      <c r="AQ63" s="20"/>
      <c r="AR63" s="39"/>
      <c r="AS63" s="20"/>
      <c r="AT63" s="39"/>
      <c r="AU63" s="20"/>
      <c r="AV63" s="40"/>
    </row>
    <row r="64" spans="1:48" s="14" customFormat="1" x14ac:dyDescent="0.25">
      <c r="A64" s="16" t="s">
        <v>68</v>
      </c>
      <c r="B64" s="69"/>
      <c r="C64" s="47"/>
      <c r="D64" s="45"/>
      <c r="E64" s="47"/>
      <c r="F64" s="45"/>
      <c r="G64" s="47"/>
      <c r="H64" s="70"/>
      <c r="I64" s="167"/>
      <c r="J64" s="69"/>
      <c r="K64" s="47"/>
      <c r="L64" s="45"/>
      <c r="M64" s="47"/>
      <c r="N64" s="45"/>
      <c r="O64" s="47">
        <v>0.88700000000000001</v>
      </c>
      <c r="P64" s="70"/>
      <c r="Q64" s="167"/>
      <c r="R64" s="69"/>
      <c r="S64" s="47"/>
      <c r="T64" s="45"/>
      <c r="U64" s="47"/>
      <c r="V64" s="45"/>
      <c r="W64" s="47">
        <v>0.88700000000000001</v>
      </c>
      <c r="X64" s="70"/>
      <c r="Y64" s="167"/>
      <c r="Z64" s="69"/>
      <c r="AA64" s="47"/>
      <c r="AB64" s="45"/>
      <c r="AC64" s="47"/>
      <c r="AD64" s="45"/>
      <c r="AE64" s="47">
        <v>0.88700000000000001</v>
      </c>
      <c r="AF64" s="70"/>
      <c r="AG64" s="167"/>
      <c r="AH64" s="69"/>
      <c r="AI64" s="47"/>
      <c r="AJ64" s="45"/>
      <c r="AK64" s="47"/>
      <c r="AL64" s="45"/>
      <c r="AM64" s="47">
        <v>0.88300000000000001</v>
      </c>
      <c r="AN64" s="70"/>
      <c r="AO64" s="167"/>
      <c r="AP64" s="69"/>
      <c r="AQ64" s="45"/>
      <c r="AR64" s="45"/>
      <c r="AS64" s="45"/>
      <c r="AT64" s="45"/>
      <c r="AU64" s="47">
        <v>0.88300000000000001</v>
      </c>
      <c r="AV64" s="70"/>
    </row>
    <row r="65" spans="1:48" s="14" customFormat="1" ht="15.75" thickBot="1" x14ac:dyDescent="0.3">
      <c r="A65" s="49" t="s">
        <v>69</v>
      </c>
      <c r="B65" s="72"/>
      <c r="C65" s="58"/>
      <c r="D65" s="52"/>
      <c r="E65" s="58"/>
      <c r="F65" s="52"/>
      <c r="G65" s="58"/>
      <c r="H65" s="73"/>
      <c r="I65" s="168"/>
      <c r="J65" s="72"/>
      <c r="K65" s="58"/>
      <c r="L65" s="52"/>
      <c r="M65" s="58"/>
      <c r="N65" s="52"/>
      <c r="O65" s="58">
        <v>0.72299999999999998</v>
      </c>
      <c r="P65" s="73"/>
      <c r="Q65" s="52"/>
      <c r="R65" s="72"/>
      <c r="S65" s="58"/>
      <c r="T65" s="52"/>
      <c r="U65" s="58"/>
      <c r="V65" s="52"/>
      <c r="W65" s="58">
        <v>0.72799999999999998</v>
      </c>
      <c r="X65" s="73"/>
      <c r="Y65" s="52"/>
      <c r="Z65" s="72"/>
      <c r="AA65" s="58"/>
      <c r="AB65" s="52"/>
      <c r="AC65" s="58"/>
      <c r="AD65" s="52"/>
      <c r="AE65" s="58">
        <v>0.72799999999999998</v>
      </c>
      <c r="AF65" s="73"/>
      <c r="AG65" s="52"/>
      <c r="AH65" s="72"/>
      <c r="AI65" s="58"/>
      <c r="AJ65" s="52"/>
      <c r="AK65" s="58"/>
      <c r="AL65" s="52"/>
      <c r="AM65" s="58">
        <v>0.73599999999999999</v>
      </c>
      <c r="AN65" s="73"/>
      <c r="AO65" s="52"/>
      <c r="AP65" s="72"/>
      <c r="AQ65" s="52"/>
      <c r="AR65" s="52"/>
      <c r="AS65" s="52"/>
      <c r="AT65" s="52"/>
      <c r="AU65" s="58"/>
      <c r="AV65" s="73"/>
    </row>
  </sheetData>
  <pageMargins left="0.7" right="0.7" top="0.75" bottom="0.75" header="0.3" footer="0.3"/>
  <pageSetup scale="2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tint="0.59999389629810485"/>
  </sheetPr>
  <dimension ref="A1:V60"/>
  <sheetViews>
    <sheetView workbookViewId="0"/>
  </sheetViews>
  <sheetFormatPr defaultColWidth="9.140625" defaultRowHeight="15" outlineLevelRow="1" outlineLevelCol="1" x14ac:dyDescent="0.25"/>
  <cols>
    <col min="1" max="1" width="40.140625" style="95" customWidth="1"/>
    <col min="2" max="2" width="9" style="95" customWidth="1"/>
    <col min="3" max="3" width="8.5703125" style="95" customWidth="1"/>
    <col min="4" max="4" width="8" style="95" hidden="1" customWidth="1" outlineLevel="1"/>
    <col min="5" max="5" width="9" style="95" customWidth="1" collapsed="1"/>
    <col min="6" max="6" width="9" style="95" hidden="1" customWidth="1" outlineLevel="1"/>
    <col min="7" max="7" width="9" style="95" customWidth="1" collapsed="1"/>
    <col min="8" max="8" width="9" style="95" customWidth="1"/>
    <col min="9" max="9" width="3" style="95" customWidth="1"/>
    <col min="10" max="11" width="9" style="95" customWidth="1"/>
    <col min="12" max="12" width="8" style="95" hidden="1" customWidth="1" outlineLevel="1"/>
    <col min="13" max="13" width="9" style="95" customWidth="1" collapsed="1"/>
    <col min="14" max="14" width="8" style="95" hidden="1" customWidth="1" outlineLevel="1"/>
    <col min="15" max="15" width="9" style="95" customWidth="1" collapsed="1"/>
    <col min="16" max="16" width="9" style="95" customWidth="1"/>
    <col min="17" max="17" width="3" style="95" customWidth="1"/>
    <col min="18" max="22" width="9" style="95" customWidth="1"/>
    <col min="23" max="16384" width="9.140625" style="95"/>
  </cols>
  <sheetData>
    <row r="1" spans="1:22" x14ac:dyDescent="0.25">
      <c r="A1" s="202" t="s">
        <v>41</v>
      </c>
      <c r="B1" s="79">
        <v>36</v>
      </c>
      <c r="C1" s="92"/>
      <c r="D1" s="92"/>
      <c r="E1" s="92"/>
      <c r="F1" s="92"/>
      <c r="G1" s="92"/>
      <c r="H1" s="92"/>
      <c r="I1" s="92"/>
      <c r="J1" s="92"/>
      <c r="K1" s="92"/>
      <c r="L1" s="92"/>
      <c r="M1" s="92"/>
      <c r="N1" s="92"/>
      <c r="O1" s="92"/>
      <c r="P1" s="92"/>
      <c r="Q1" s="92"/>
      <c r="R1" s="92"/>
      <c r="S1" s="92"/>
      <c r="T1" s="92"/>
      <c r="U1" s="92"/>
      <c r="V1" s="92"/>
    </row>
    <row r="2" spans="1:22" x14ac:dyDescent="0.25">
      <c r="A2" s="42" t="s">
        <v>42</v>
      </c>
      <c r="B2" s="206">
        <v>20.8</v>
      </c>
      <c r="C2" s="77"/>
      <c r="D2" s="77"/>
      <c r="E2" s="77"/>
      <c r="F2" s="77"/>
      <c r="G2" s="77"/>
      <c r="H2" s="77"/>
      <c r="I2" s="77"/>
      <c r="J2" s="77"/>
      <c r="K2" s="77"/>
      <c r="L2" s="77"/>
      <c r="M2" s="77"/>
      <c r="N2" s="77"/>
      <c r="O2" s="77"/>
      <c r="P2" s="77"/>
      <c r="Q2" s="77"/>
      <c r="R2" s="77"/>
      <c r="S2" s="77"/>
      <c r="T2" s="77"/>
      <c r="U2" s="77"/>
      <c r="V2" s="77"/>
    </row>
    <row r="3" spans="1:22" ht="15" customHeight="1" x14ac:dyDescent="0.25">
      <c r="A3" s="42" t="s">
        <v>43</v>
      </c>
      <c r="B3" s="206">
        <v>2.4</v>
      </c>
      <c r="C3" s="77"/>
      <c r="D3" s="77"/>
      <c r="E3" s="77"/>
      <c r="F3" s="77"/>
      <c r="G3" s="77"/>
      <c r="H3" s="77"/>
      <c r="I3" s="77"/>
      <c r="J3" s="77"/>
      <c r="K3" s="77"/>
      <c r="L3" s="77"/>
      <c r="M3" s="77"/>
      <c r="N3" s="77"/>
      <c r="O3" s="77"/>
      <c r="P3" s="77"/>
      <c r="Q3" s="77"/>
      <c r="R3" s="77"/>
      <c r="S3" s="77"/>
      <c r="T3" s="77"/>
      <c r="U3" s="77"/>
      <c r="V3" s="77"/>
    </row>
    <row r="4" spans="1:22" s="100" customFormat="1" ht="15" customHeight="1" x14ac:dyDescent="0.25">
      <c r="A4" s="42" t="s">
        <v>44</v>
      </c>
      <c r="B4" s="206">
        <v>12.8</v>
      </c>
      <c r="C4" s="97"/>
      <c r="D4" s="97"/>
      <c r="E4" s="97"/>
      <c r="F4" s="89"/>
      <c r="G4" s="97"/>
      <c r="H4" s="97"/>
      <c r="I4" s="89"/>
      <c r="J4" s="97"/>
      <c r="K4" s="97"/>
      <c r="L4" s="97"/>
      <c r="M4" s="97"/>
      <c r="N4" s="89"/>
      <c r="O4" s="97"/>
      <c r="P4" s="97"/>
      <c r="Q4" s="89"/>
      <c r="R4" s="97"/>
      <c r="S4" s="97"/>
      <c r="T4" s="97"/>
      <c r="U4" s="97"/>
      <c r="V4" s="97"/>
    </row>
    <row r="5" spans="1:22" s="100" customFormat="1" ht="15" customHeight="1" x14ac:dyDescent="0.25">
      <c r="A5" s="5"/>
      <c r="B5" s="206"/>
      <c r="C5" s="97"/>
      <c r="D5" s="97"/>
      <c r="E5" s="97"/>
      <c r="F5" s="89"/>
      <c r="G5" s="97"/>
      <c r="H5" s="97"/>
      <c r="I5" s="89"/>
      <c r="J5" s="97"/>
      <c r="K5" s="97"/>
      <c r="L5" s="97"/>
      <c r="M5" s="97"/>
      <c r="N5" s="89"/>
      <c r="O5" s="97"/>
      <c r="P5" s="97"/>
      <c r="Q5" s="89"/>
      <c r="R5" s="97"/>
      <c r="S5" s="97"/>
      <c r="T5" s="97"/>
      <c r="U5" s="97"/>
      <c r="V5" s="97"/>
    </row>
    <row r="6" spans="1:22" s="100" customFormat="1" x14ac:dyDescent="0.25">
      <c r="A6" s="5" t="s">
        <v>118</v>
      </c>
      <c r="B6" s="207">
        <v>70.8</v>
      </c>
      <c r="C6" s="97"/>
      <c r="D6" s="97"/>
      <c r="E6" s="97"/>
      <c r="F6" s="89"/>
      <c r="G6" s="97"/>
      <c r="H6" s="97"/>
      <c r="I6" s="89"/>
      <c r="J6" s="97"/>
      <c r="K6" s="97"/>
      <c r="L6" s="97"/>
      <c r="M6" s="97"/>
      <c r="N6" s="89"/>
      <c r="O6" s="97"/>
      <c r="P6" s="97"/>
      <c r="Q6" s="89"/>
      <c r="R6" s="97"/>
      <c r="S6" s="97"/>
      <c r="T6" s="97"/>
      <c r="U6" s="97"/>
      <c r="V6" s="97"/>
    </row>
    <row r="7" spans="1:22" s="100" customFormat="1" x14ac:dyDescent="0.25">
      <c r="A7" s="42" t="s">
        <v>119</v>
      </c>
      <c r="B7" s="206">
        <v>15.7</v>
      </c>
      <c r="C7" s="103"/>
      <c r="D7" s="103"/>
      <c r="E7" s="103"/>
      <c r="F7" s="89"/>
      <c r="G7" s="103"/>
      <c r="H7" s="103"/>
      <c r="I7" s="89"/>
      <c r="J7" s="103"/>
      <c r="K7" s="103"/>
      <c r="L7" s="103"/>
      <c r="M7" s="103"/>
      <c r="N7" s="89"/>
      <c r="O7" s="103"/>
      <c r="P7" s="103"/>
      <c r="Q7" s="89"/>
      <c r="R7" s="103"/>
      <c r="S7" s="103"/>
      <c r="T7" s="103"/>
      <c r="U7" s="103"/>
      <c r="V7" s="103"/>
    </row>
    <row r="8" spans="1:22" x14ac:dyDescent="0.25">
      <c r="A8" s="42" t="s">
        <v>120</v>
      </c>
      <c r="B8" s="209">
        <v>55.1</v>
      </c>
      <c r="C8" s="105"/>
      <c r="D8" s="105"/>
      <c r="E8" s="105"/>
      <c r="F8" s="105"/>
      <c r="G8" s="105"/>
      <c r="H8" s="105"/>
      <c r="I8" s="77"/>
      <c r="J8" s="105"/>
      <c r="K8" s="105"/>
      <c r="L8" s="105"/>
      <c r="M8" s="105"/>
      <c r="N8" s="105"/>
      <c r="O8" s="105"/>
      <c r="P8" s="105"/>
      <c r="Q8" s="77"/>
      <c r="R8" s="105"/>
      <c r="S8" s="105"/>
      <c r="T8" s="105"/>
      <c r="U8" s="105"/>
      <c r="V8" s="105"/>
    </row>
    <row r="9" spans="1:22" x14ac:dyDescent="0.25">
      <c r="A9" s="42"/>
      <c r="B9" s="96"/>
      <c r="C9" s="105"/>
      <c r="D9" s="105"/>
      <c r="E9" s="105"/>
      <c r="F9" s="105"/>
      <c r="G9" s="105"/>
      <c r="H9" s="105"/>
      <c r="I9" s="77"/>
      <c r="J9" s="105"/>
      <c r="K9" s="105"/>
      <c r="L9" s="105"/>
      <c r="M9" s="105"/>
      <c r="N9" s="105"/>
      <c r="O9" s="105"/>
      <c r="P9" s="105"/>
      <c r="Q9" s="77"/>
      <c r="R9" s="105"/>
      <c r="S9" s="105"/>
      <c r="T9" s="105"/>
      <c r="U9" s="105"/>
      <c r="V9" s="105"/>
    </row>
    <row r="10" spans="1:22" ht="15.75" thickBot="1" x14ac:dyDescent="0.3">
      <c r="A10" s="87" t="s">
        <v>116</v>
      </c>
      <c r="B10" s="208">
        <v>39.6</v>
      </c>
      <c r="C10" s="105"/>
      <c r="D10" s="105"/>
      <c r="E10" s="105"/>
      <c r="F10" s="105"/>
      <c r="G10" s="105"/>
      <c r="H10" s="105"/>
      <c r="I10" s="77"/>
      <c r="J10" s="105"/>
      <c r="K10" s="105"/>
      <c r="L10" s="105"/>
      <c r="M10" s="105"/>
      <c r="N10" s="105"/>
      <c r="O10" s="105"/>
      <c r="P10" s="105"/>
      <c r="Q10" s="77"/>
      <c r="R10" s="105"/>
      <c r="S10" s="105"/>
      <c r="T10" s="105"/>
      <c r="U10" s="105"/>
      <c r="V10" s="105"/>
    </row>
    <row r="11" spans="1:22" x14ac:dyDescent="0.25">
      <c r="A11" s="42"/>
      <c r="B11" s="210"/>
      <c r="C11" s="105"/>
      <c r="D11" s="105"/>
      <c r="E11" s="105"/>
      <c r="F11" s="105"/>
      <c r="G11" s="105"/>
      <c r="H11" s="105"/>
      <c r="I11" s="77"/>
      <c r="J11" s="105"/>
      <c r="K11" s="105"/>
      <c r="L11" s="105"/>
      <c r="M11" s="105"/>
      <c r="N11" s="105"/>
      <c r="O11" s="105"/>
      <c r="P11" s="105"/>
      <c r="Q11" s="77"/>
      <c r="R11" s="105"/>
      <c r="S11" s="105"/>
      <c r="T11" s="105"/>
      <c r="U11" s="105"/>
      <c r="V11" s="105"/>
    </row>
    <row r="12" spans="1:22" x14ac:dyDescent="0.25">
      <c r="A12" s="42"/>
      <c r="B12" s="210"/>
      <c r="C12" s="105"/>
      <c r="D12" s="105"/>
      <c r="E12" s="105"/>
      <c r="F12" s="105"/>
      <c r="G12" s="105"/>
      <c r="H12" s="105"/>
      <c r="I12" s="77"/>
      <c r="J12" s="105"/>
      <c r="K12" s="105"/>
      <c r="L12" s="105"/>
      <c r="M12" s="105"/>
      <c r="N12" s="105"/>
      <c r="O12" s="105"/>
      <c r="P12" s="105"/>
      <c r="Q12" s="77"/>
      <c r="R12" s="105"/>
      <c r="S12" s="105"/>
      <c r="T12" s="105"/>
      <c r="U12" s="105"/>
      <c r="V12" s="105"/>
    </row>
    <row r="13" spans="1:22" ht="15.75" thickBot="1" x14ac:dyDescent="0.3">
      <c r="A13" s="42"/>
      <c r="B13" s="105"/>
      <c r="C13" s="105"/>
      <c r="D13" s="105"/>
      <c r="E13" s="105"/>
      <c r="F13" s="105"/>
      <c r="G13" s="105"/>
      <c r="H13" s="105"/>
      <c r="I13" s="77"/>
      <c r="J13" s="105"/>
      <c r="K13" s="105"/>
      <c r="L13" s="105"/>
      <c r="M13" s="105"/>
      <c r="N13" s="105"/>
      <c r="O13" s="105"/>
      <c r="P13" s="105"/>
      <c r="Q13" s="77"/>
      <c r="R13" s="105"/>
      <c r="S13" s="105"/>
      <c r="T13" s="105"/>
      <c r="U13" s="105"/>
      <c r="V13" s="105"/>
    </row>
    <row r="14" spans="1:22" ht="15.75" thickBot="1" x14ac:dyDescent="0.3">
      <c r="A14" s="42"/>
      <c r="B14" s="264">
        <v>2008</v>
      </c>
      <c r="C14" s="265"/>
      <c r="D14" s="265"/>
      <c r="E14" s="265"/>
      <c r="F14" s="265"/>
      <c r="G14" s="265"/>
      <c r="H14" s="266"/>
      <c r="I14" s="77"/>
      <c r="J14" s="264">
        <v>2007</v>
      </c>
      <c r="K14" s="265"/>
      <c r="L14" s="265"/>
      <c r="M14" s="265"/>
      <c r="N14" s="265"/>
      <c r="O14" s="265"/>
      <c r="P14" s="266"/>
      <c r="Q14" s="77"/>
      <c r="R14" s="264">
        <v>2006</v>
      </c>
      <c r="S14" s="265"/>
      <c r="T14" s="265"/>
      <c r="U14" s="265"/>
      <c r="V14" s="266"/>
    </row>
    <row r="15" spans="1:22" s="158" customFormat="1" x14ac:dyDescent="0.25">
      <c r="A15" s="114"/>
      <c r="B15" s="153" t="s">
        <v>3</v>
      </c>
      <c r="C15" s="97" t="s">
        <v>4</v>
      </c>
      <c r="D15" s="97" t="s">
        <v>5</v>
      </c>
      <c r="E15" s="97" t="s">
        <v>6</v>
      </c>
      <c r="F15" s="97" t="s">
        <v>7</v>
      </c>
      <c r="G15" s="97" t="s">
        <v>8</v>
      </c>
      <c r="H15" s="99" t="s">
        <v>9</v>
      </c>
      <c r="I15" s="115"/>
      <c r="J15" s="153" t="s">
        <v>3</v>
      </c>
      <c r="K15" s="97" t="s">
        <v>4</v>
      </c>
      <c r="L15" s="97" t="s">
        <v>5</v>
      </c>
      <c r="M15" s="97" t="s">
        <v>6</v>
      </c>
      <c r="N15" s="97" t="s">
        <v>7</v>
      </c>
      <c r="O15" s="97" t="s">
        <v>8</v>
      </c>
      <c r="P15" s="99" t="s">
        <v>9</v>
      </c>
      <c r="Q15" s="115"/>
      <c r="R15" s="153" t="s">
        <v>5</v>
      </c>
      <c r="S15" s="97" t="s">
        <v>6</v>
      </c>
      <c r="T15" s="97" t="s">
        <v>7</v>
      </c>
      <c r="U15" s="97" t="s">
        <v>8</v>
      </c>
      <c r="V15" s="99" t="s">
        <v>9</v>
      </c>
    </row>
    <row r="16" spans="1:22" x14ac:dyDescent="0.25">
      <c r="A16" s="42"/>
      <c r="B16" s="107"/>
      <c r="C16" s="105"/>
      <c r="D16" s="105"/>
      <c r="E16" s="105"/>
      <c r="F16" s="105"/>
      <c r="G16" s="105"/>
      <c r="H16" s="106"/>
      <c r="I16" s="77"/>
      <c r="J16" s="107"/>
      <c r="K16" s="105"/>
      <c r="L16" s="105"/>
      <c r="M16" s="105"/>
      <c r="N16" s="105"/>
      <c r="O16" s="105"/>
      <c r="P16" s="106"/>
      <c r="Q16" s="77"/>
      <c r="R16" s="107"/>
      <c r="S16" s="105"/>
      <c r="T16" s="105"/>
      <c r="U16" s="105"/>
      <c r="V16" s="106"/>
    </row>
    <row r="17" spans="1:22" s="100" customFormat="1" x14ac:dyDescent="0.25">
      <c r="A17" s="88" t="s">
        <v>10</v>
      </c>
      <c r="B17" s="108">
        <v>5465</v>
      </c>
      <c r="C17" s="103">
        <v>6000</v>
      </c>
      <c r="D17" s="103">
        <v>11465</v>
      </c>
      <c r="E17" s="103">
        <v>0</v>
      </c>
      <c r="F17" s="103">
        <v>11465</v>
      </c>
      <c r="G17" s="103">
        <v>0</v>
      </c>
      <c r="H17" s="104">
        <v>11465</v>
      </c>
      <c r="I17" s="109"/>
      <c r="J17" s="108">
        <v>5492</v>
      </c>
      <c r="K17" s="103">
        <v>5555</v>
      </c>
      <c r="L17" s="103">
        <v>11047</v>
      </c>
      <c r="M17" s="103">
        <v>5333</v>
      </c>
      <c r="N17" s="103">
        <v>16380</v>
      </c>
      <c r="O17" s="103">
        <v>6142</v>
      </c>
      <c r="P17" s="104">
        <v>22522</v>
      </c>
      <c r="Q17" s="109"/>
      <c r="R17" s="108">
        <v>2862</v>
      </c>
      <c r="S17" s="103">
        <v>5463</v>
      </c>
      <c r="T17" s="103">
        <v>8325</v>
      </c>
      <c r="U17" s="103">
        <v>7375</v>
      </c>
      <c r="V17" s="104">
        <v>15700</v>
      </c>
    </row>
    <row r="18" spans="1:22" s="100" customFormat="1" x14ac:dyDescent="0.25">
      <c r="A18" s="88" t="s">
        <v>11</v>
      </c>
      <c r="B18" s="108">
        <v>955</v>
      </c>
      <c r="C18" s="103">
        <v>1203</v>
      </c>
      <c r="D18" s="103">
        <v>2158</v>
      </c>
      <c r="E18" s="103">
        <v>0</v>
      </c>
      <c r="F18" s="103">
        <v>2158</v>
      </c>
      <c r="G18" s="103">
        <v>0</v>
      </c>
      <c r="H18" s="104">
        <v>2158</v>
      </c>
      <c r="I18" s="109"/>
      <c r="J18" s="108">
        <v>1314</v>
      </c>
      <c r="K18" s="103">
        <v>1247</v>
      </c>
      <c r="L18" s="103">
        <v>2561</v>
      </c>
      <c r="M18" s="103">
        <v>928</v>
      </c>
      <c r="N18" s="103">
        <v>3489</v>
      </c>
      <c r="O18" s="103">
        <v>1138</v>
      </c>
      <c r="P18" s="104">
        <v>4627</v>
      </c>
      <c r="Q18" s="109"/>
      <c r="R18" s="108">
        <v>776</v>
      </c>
      <c r="S18" s="103">
        <v>1206</v>
      </c>
      <c r="T18" s="103">
        <v>1982</v>
      </c>
      <c r="U18" s="103">
        <v>2518</v>
      </c>
      <c r="V18" s="104">
        <v>4500</v>
      </c>
    </row>
    <row r="19" spans="1:22" s="100" customFormat="1" x14ac:dyDescent="0.25">
      <c r="A19" s="88" t="s">
        <v>12</v>
      </c>
      <c r="B19" s="108">
        <v>4510</v>
      </c>
      <c r="C19" s="103">
        <v>4797</v>
      </c>
      <c r="D19" s="103">
        <v>9307</v>
      </c>
      <c r="E19" s="103">
        <v>0</v>
      </c>
      <c r="F19" s="103">
        <v>9307</v>
      </c>
      <c r="G19" s="103">
        <v>0</v>
      </c>
      <c r="H19" s="104">
        <v>9307</v>
      </c>
      <c r="I19" s="109"/>
      <c r="J19" s="108">
        <v>4178</v>
      </c>
      <c r="K19" s="103">
        <v>4308</v>
      </c>
      <c r="L19" s="103">
        <v>8486</v>
      </c>
      <c r="M19" s="103">
        <v>4405</v>
      </c>
      <c r="N19" s="103">
        <v>12891</v>
      </c>
      <c r="O19" s="103">
        <v>5004</v>
      </c>
      <c r="P19" s="104">
        <v>17895</v>
      </c>
      <c r="Q19" s="109"/>
      <c r="R19" s="108">
        <v>2086</v>
      </c>
      <c r="S19" s="103">
        <v>4257</v>
      </c>
      <c r="T19" s="103">
        <v>6343</v>
      </c>
      <c r="U19" s="103">
        <v>4857</v>
      </c>
      <c r="V19" s="104">
        <v>11200</v>
      </c>
    </row>
    <row r="20" spans="1:22" ht="15" customHeight="1" outlineLevel="1" x14ac:dyDescent="0.25">
      <c r="A20" s="42" t="s">
        <v>13</v>
      </c>
      <c r="B20" s="107">
        <v>2606</v>
      </c>
      <c r="C20" s="105">
        <v>2901</v>
      </c>
      <c r="D20" s="105">
        <v>5507</v>
      </c>
      <c r="E20" s="105">
        <v>0</v>
      </c>
      <c r="F20" s="105">
        <v>5507</v>
      </c>
      <c r="G20" s="105">
        <v>0</v>
      </c>
      <c r="H20" s="106">
        <v>5507</v>
      </c>
      <c r="I20" s="110"/>
      <c r="J20" s="107">
        <v>2442</v>
      </c>
      <c r="K20" s="105">
        <v>2590</v>
      </c>
      <c r="L20" s="105">
        <v>5032</v>
      </c>
      <c r="M20" s="105">
        <v>2656</v>
      </c>
      <c r="N20" s="105">
        <v>7688</v>
      </c>
      <c r="O20" s="105">
        <v>2603</v>
      </c>
      <c r="P20" s="106">
        <v>10291</v>
      </c>
      <c r="Q20" s="110"/>
      <c r="R20" s="107">
        <v>1260</v>
      </c>
      <c r="S20" s="105">
        <v>2281</v>
      </c>
      <c r="T20" s="105">
        <v>3541</v>
      </c>
      <c r="U20" s="105">
        <v>2272</v>
      </c>
      <c r="V20" s="106">
        <v>5813</v>
      </c>
    </row>
    <row r="21" spans="1:22" ht="15" customHeight="1" outlineLevel="1" x14ac:dyDescent="0.25">
      <c r="A21" s="42" t="s">
        <v>14</v>
      </c>
      <c r="B21" s="107">
        <v>88</v>
      </c>
      <c r="C21" s="105">
        <v>82</v>
      </c>
      <c r="D21" s="105">
        <v>170</v>
      </c>
      <c r="E21" s="105">
        <v>0</v>
      </c>
      <c r="F21" s="105">
        <v>170</v>
      </c>
      <c r="G21" s="105">
        <v>0</v>
      </c>
      <c r="H21" s="106">
        <v>170</v>
      </c>
      <c r="I21" s="110"/>
      <c r="J21" s="107">
        <v>87</v>
      </c>
      <c r="K21" s="105">
        <v>87</v>
      </c>
      <c r="L21" s="105">
        <v>174</v>
      </c>
      <c r="M21" s="105">
        <v>89</v>
      </c>
      <c r="N21" s="105">
        <v>263</v>
      </c>
      <c r="O21" s="105">
        <v>87</v>
      </c>
      <c r="P21" s="106">
        <v>350</v>
      </c>
      <c r="Q21" s="110"/>
      <c r="R21" s="107">
        <v>44</v>
      </c>
      <c r="S21" s="105">
        <v>87</v>
      </c>
      <c r="T21" s="105">
        <v>131</v>
      </c>
      <c r="U21" s="105">
        <v>87</v>
      </c>
      <c r="V21" s="106">
        <v>218</v>
      </c>
    </row>
    <row r="22" spans="1:22" ht="17.25" customHeight="1" outlineLevel="1" x14ac:dyDescent="0.25">
      <c r="A22" s="42" t="s">
        <v>15</v>
      </c>
      <c r="B22" s="107">
        <v>185</v>
      </c>
      <c r="C22" s="105">
        <v>185</v>
      </c>
      <c r="D22" s="105">
        <v>370</v>
      </c>
      <c r="E22" s="105">
        <v>0</v>
      </c>
      <c r="F22" s="105">
        <v>370</v>
      </c>
      <c r="G22" s="105">
        <v>0</v>
      </c>
      <c r="H22" s="106">
        <v>370</v>
      </c>
      <c r="I22" s="110"/>
      <c r="J22" s="107">
        <v>183</v>
      </c>
      <c r="K22" s="105">
        <v>183</v>
      </c>
      <c r="L22" s="105">
        <v>366</v>
      </c>
      <c r="M22" s="105">
        <v>183</v>
      </c>
      <c r="N22" s="105">
        <v>549</v>
      </c>
      <c r="O22" s="105">
        <v>185</v>
      </c>
      <c r="P22" s="106">
        <v>734</v>
      </c>
      <c r="Q22" s="110"/>
      <c r="R22" s="107">
        <v>90</v>
      </c>
      <c r="S22" s="105">
        <v>190</v>
      </c>
      <c r="T22" s="105">
        <v>280</v>
      </c>
      <c r="U22" s="105">
        <v>195</v>
      </c>
      <c r="V22" s="106">
        <v>475</v>
      </c>
    </row>
    <row r="23" spans="1:22" ht="17.25" customHeight="1" outlineLevel="1" x14ac:dyDescent="0.4">
      <c r="A23" s="42" t="s">
        <v>146</v>
      </c>
      <c r="B23" s="111">
        <v>0</v>
      </c>
      <c r="C23" s="112">
        <v>0</v>
      </c>
      <c r="D23" s="112">
        <v>0</v>
      </c>
      <c r="E23" s="112">
        <v>0</v>
      </c>
      <c r="F23" s="112">
        <v>0</v>
      </c>
      <c r="G23" s="112">
        <v>0</v>
      </c>
      <c r="H23" s="113">
        <v>0</v>
      </c>
      <c r="I23" s="110"/>
      <c r="J23" s="111">
        <v>0</v>
      </c>
      <c r="K23" s="112">
        <v>0</v>
      </c>
      <c r="L23" s="112">
        <v>0</v>
      </c>
      <c r="M23" s="112">
        <v>0</v>
      </c>
      <c r="N23" s="112">
        <v>0</v>
      </c>
      <c r="O23" s="112">
        <v>0</v>
      </c>
      <c r="P23" s="113">
        <v>0</v>
      </c>
      <c r="Q23" s="110"/>
      <c r="R23" s="111">
        <v>0</v>
      </c>
      <c r="S23" s="112">
        <v>0</v>
      </c>
      <c r="T23" s="112">
        <v>0</v>
      </c>
      <c r="U23" s="112">
        <v>0</v>
      </c>
      <c r="V23" s="113">
        <v>0</v>
      </c>
    </row>
    <row r="24" spans="1:22" s="100" customFormat="1" x14ac:dyDescent="0.25">
      <c r="A24" s="88" t="s">
        <v>17</v>
      </c>
      <c r="B24" s="108">
        <v>1631</v>
      </c>
      <c r="C24" s="103">
        <v>1629</v>
      </c>
      <c r="D24" s="103">
        <v>3260</v>
      </c>
      <c r="E24" s="103">
        <v>0</v>
      </c>
      <c r="F24" s="103">
        <v>3260</v>
      </c>
      <c r="G24" s="103">
        <v>0</v>
      </c>
      <c r="H24" s="104">
        <v>3260</v>
      </c>
      <c r="I24" s="109"/>
      <c r="J24" s="108">
        <v>1466</v>
      </c>
      <c r="K24" s="103">
        <v>1448</v>
      </c>
      <c r="L24" s="103">
        <v>2914</v>
      </c>
      <c r="M24" s="103">
        <v>1477</v>
      </c>
      <c r="N24" s="103">
        <v>4391</v>
      </c>
      <c r="O24" s="103">
        <v>2129</v>
      </c>
      <c r="P24" s="104">
        <v>6520</v>
      </c>
      <c r="Q24" s="109"/>
      <c r="R24" s="108">
        <v>692</v>
      </c>
      <c r="S24" s="103">
        <v>1699</v>
      </c>
      <c r="T24" s="103">
        <v>2391</v>
      </c>
      <c r="U24" s="103">
        <v>2303</v>
      </c>
      <c r="V24" s="104">
        <v>4694</v>
      </c>
    </row>
    <row r="25" spans="1:22" ht="15" customHeight="1" outlineLevel="1" x14ac:dyDescent="0.25">
      <c r="A25" s="42" t="s">
        <v>18</v>
      </c>
      <c r="B25" s="107">
        <v>289</v>
      </c>
      <c r="C25" s="105">
        <v>136</v>
      </c>
      <c r="D25" s="105">
        <v>425</v>
      </c>
      <c r="E25" s="105">
        <v>0</v>
      </c>
      <c r="F25" s="105">
        <v>425</v>
      </c>
      <c r="G25" s="105">
        <v>0</v>
      </c>
      <c r="H25" s="106">
        <v>425</v>
      </c>
      <c r="I25" s="110"/>
      <c r="J25" s="107"/>
      <c r="K25" s="105">
        <v>-24</v>
      </c>
      <c r="L25" s="105">
        <v>-24</v>
      </c>
      <c r="M25" s="105">
        <v>0</v>
      </c>
      <c r="N25" s="105">
        <v>-24</v>
      </c>
      <c r="O25" s="105">
        <v>25</v>
      </c>
      <c r="P25" s="106">
        <v>1</v>
      </c>
      <c r="Q25" s="110"/>
      <c r="R25" s="107">
        <v>790</v>
      </c>
      <c r="S25" s="105">
        <v>-153</v>
      </c>
      <c r="T25" s="105">
        <v>637</v>
      </c>
      <c r="U25" s="105">
        <v>216</v>
      </c>
      <c r="V25" s="106">
        <v>853</v>
      </c>
    </row>
    <row r="26" spans="1:22" ht="15" customHeight="1" outlineLevel="1" x14ac:dyDescent="0.25">
      <c r="A26" s="42" t="s">
        <v>19</v>
      </c>
      <c r="B26" s="107">
        <v>16</v>
      </c>
      <c r="C26" s="105">
        <v>11</v>
      </c>
      <c r="D26" s="105">
        <v>27</v>
      </c>
      <c r="E26" s="105">
        <v>0</v>
      </c>
      <c r="F26" s="105">
        <v>27</v>
      </c>
      <c r="G26" s="105">
        <v>0</v>
      </c>
      <c r="H26" s="106">
        <v>27</v>
      </c>
      <c r="I26" s="110"/>
      <c r="J26" s="107">
        <v>11</v>
      </c>
      <c r="K26" s="105">
        <v>17</v>
      </c>
      <c r="L26" s="105">
        <v>28</v>
      </c>
      <c r="M26" s="105">
        <v>20</v>
      </c>
      <c r="N26" s="105">
        <v>48</v>
      </c>
      <c r="O26" s="105">
        <v>12</v>
      </c>
      <c r="P26" s="106">
        <v>60</v>
      </c>
      <c r="Q26" s="110"/>
      <c r="R26" s="107">
        <v>8</v>
      </c>
      <c r="S26" s="105">
        <v>-4</v>
      </c>
      <c r="T26" s="105">
        <v>4</v>
      </c>
      <c r="U26" s="105">
        <v>66</v>
      </c>
      <c r="V26" s="106">
        <v>70</v>
      </c>
    </row>
    <row r="27" spans="1:22" ht="15" customHeight="1" outlineLevel="1" x14ac:dyDescent="0.25">
      <c r="A27" s="42" t="s">
        <v>20</v>
      </c>
      <c r="B27" s="107">
        <v>306</v>
      </c>
      <c r="C27" s="105">
        <v>255</v>
      </c>
      <c r="D27" s="105">
        <v>561</v>
      </c>
      <c r="E27" s="105">
        <v>0</v>
      </c>
      <c r="F27" s="105">
        <v>561</v>
      </c>
      <c r="G27" s="105">
        <v>0</v>
      </c>
      <c r="H27" s="106">
        <v>561</v>
      </c>
      <c r="I27" s="110"/>
      <c r="J27" s="107">
        <v>420</v>
      </c>
      <c r="K27" s="105">
        <v>382</v>
      </c>
      <c r="L27" s="105">
        <v>802</v>
      </c>
      <c r="M27" s="105">
        <v>381</v>
      </c>
      <c r="N27" s="105">
        <v>1183</v>
      </c>
      <c r="O27" s="105">
        <v>367</v>
      </c>
      <c r="P27" s="106">
        <v>1550</v>
      </c>
      <c r="Q27" s="110"/>
      <c r="R27" s="107">
        <v>158</v>
      </c>
      <c r="S27" s="103">
        <v>353</v>
      </c>
      <c r="T27" s="105">
        <v>511</v>
      </c>
      <c r="U27" s="105">
        <v>461</v>
      </c>
      <c r="V27" s="106">
        <v>972</v>
      </c>
    </row>
    <row r="28" spans="1:22" ht="17.25" customHeight="1" outlineLevel="1" x14ac:dyDescent="0.4">
      <c r="A28" s="42" t="s">
        <v>21</v>
      </c>
      <c r="B28" s="111">
        <v>499</v>
      </c>
      <c r="C28" s="112">
        <v>613</v>
      </c>
      <c r="D28" s="112">
        <v>1112</v>
      </c>
      <c r="E28" s="112">
        <v>0</v>
      </c>
      <c r="F28" s="112">
        <v>1112</v>
      </c>
      <c r="G28" s="112">
        <v>0</v>
      </c>
      <c r="H28" s="113">
        <v>1112</v>
      </c>
      <c r="I28" s="110"/>
      <c r="J28" s="111">
        <v>494</v>
      </c>
      <c r="K28" s="112">
        <v>460</v>
      </c>
      <c r="L28" s="112">
        <v>954</v>
      </c>
      <c r="M28" s="112">
        <v>461</v>
      </c>
      <c r="N28" s="112">
        <v>1415</v>
      </c>
      <c r="O28" s="112">
        <v>610</v>
      </c>
      <c r="P28" s="113">
        <v>2025</v>
      </c>
      <c r="Q28" s="110"/>
      <c r="R28" s="111">
        <v>-194</v>
      </c>
      <c r="S28" s="112">
        <v>933</v>
      </c>
      <c r="T28" s="112">
        <v>739</v>
      </c>
      <c r="U28" s="112">
        <v>856</v>
      </c>
      <c r="V28" s="113">
        <v>1595</v>
      </c>
    </row>
    <row r="29" spans="1:22" s="100" customFormat="1" x14ac:dyDescent="0.25">
      <c r="A29" s="88" t="s">
        <v>24</v>
      </c>
      <c r="B29" s="108">
        <v>521</v>
      </c>
      <c r="C29" s="103">
        <v>614</v>
      </c>
      <c r="D29" s="103">
        <v>1135</v>
      </c>
      <c r="E29" s="103">
        <v>0</v>
      </c>
      <c r="F29" s="103">
        <v>1135</v>
      </c>
      <c r="G29" s="103">
        <v>0</v>
      </c>
      <c r="H29" s="104">
        <v>1135</v>
      </c>
      <c r="I29" s="109"/>
      <c r="J29" s="108">
        <v>541</v>
      </c>
      <c r="K29" s="103">
        <v>613</v>
      </c>
      <c r="L29" s="103">
        <v>1154</v>
      </c>
      <c r="M29" s="103">
        <v>615</v>
      </c>
      <c r="N29" s="103">
        <v>1769</v>
      </c>
      <c r="O29" s="103">
        <v>1115</v>
      </c>
      <c r="P29" s="104">
        <v>2884</v>
      </c>
      <c r="Q29" s="109"/>
      <c r="R29" s="108">
        <v>-70</v>
      </c>
      <c r="S29" s="166">
        <v>570</v>
      </c>
      <c r="T29" s="103">
        <v>500</v>
      </c>
      <c r="U29" s="103">
        <v>704</v>
      </c>
      <c r="V29" s="104">
        <v>1204</v>
      </c>
    </row>
    <row r="30" spans="1:22" ht="15" customHeight="1" outlineLevel="1" x14ac:dyDescent="0.25">
      <c r="A30" s="114" t="s">
        <v>54</v>
      </c>
      <c r="B30" s="107"/>
      <c r="C30" s="116"/>
      <c r="D30" s="116"/>
      <c r="E30" s="116"/>
      <c r="F30" s="105"/>
      <c r="G30" s="116"/>
      <c r="H30" s="117"/>
      <c r="I30" s="110"/>
      <c r="J30" s="107"/>
      <c r="K30" s="116"/>
      <c r="L30" s="116"/>
      <c r="M30" s="116"/>
      <c r="N30" s="105"/>
      <c r="O30" s="116"/>
      <c r="P30" s="117"/>
      <c r="Q30" s="110"/>
      <c r="R30" s="170"/>
      <c r="S30" s="116"/>
      <c r="T30" s="105"/>
      <c r="U30" s="116"/>
      <c r="V30" s="117"/>
    </row>
    <row r="31" spans="1:22" ht="15" customHeight="1" outlineLevel="1" x14ac:dyDescent="0.25">
      <c r="A31" s="42" t="s">
        <v>21</v>
      </c>
      <c r="B31" s="107">
        <v>499</v>
      </c>
      <c r="C31" s="105">
        <v>0</v>
      </c>
      <c r="D31" s="105">
        <v>0</v>
      </c>
      <c r="E31" s="105">
        <v>0</v>
      </c>
      <c r="F31" s="105">
        <v>0</v>
      </c>
      <c r="G31" s="105">
        <v>0</v>
      </c>
      <c r="H31" s="106">
        <v>0</v>
      </c>
      <c r="I31" s="110"/>
      <c r="J31" s="107">
        <v>494</v>
      </c>
      <c r="K31" s="105">
        <v>460</v>
      </c>
      <c r="L31" s="105">
        <v>954</v>
      </c>
      <c r="M31" s="105">
        <v>461</v>
      </c>
      <c r="N31" s="105">
        <v>1415</v>
      </c>
      <c r="O31" s="105">
        <v>610</v>
      </c>
      <c r="P31" s="106">
        <v>2025</v>
      </c>
      <c r="Q31" s="110"/>
      <c r="R31" s="107">
        <v>-194</v>
      </c>
      <c r="S31" s="105">
        <v>933</v>
      </c>
      <c r="T31" s="105">
        <v>739</v>
      </c>
      <c r="U31" s="105">
        <v>856</v>
      </c>
      <c r="V31" s="106">
        <v>1595</v>
      </c>
    </row>
    <row r="32" spans="1:22" ht="15" customHeight="1" outlineLevel="1" x14ac:dyDescent="0.25">
      <c r="A32" s="42" t="s">
        <v>19</v>
      </c>
      <c r="B32" s="107">
        <v>16</v>
      </c>
      <c r="C32" s="105">
        <v>0</v>
      </c>
      <c r="D32" s="105">
        <v>0</v>
      </c>
      <c r="E32" s="105">
        <v>0</v>
      </c>
      <c r="F32" s="105">
        <v>0</v>
      </c>
      <c r="G32" s="105">
        <v>0</v>
      </c>
      <c r="H32" s="106">
        <v>0</v>
      </c>
      <c r="I32" s="110"/>
      <c r="J32" s="107">
        <v>11</v>
      </c>
      <c r="K32" s="105">
        <v>17</v>
      </c>
      <c r="L32" s="105">
        <v>28</v>
      </c>
      <c r="M32" s="105">
        <v>20</v>
      </c>
      <c r="N32" s="105">
        <v>48</v>
      </c>
      <c r="O32" s="105">
        <v>12</v>
      </c>
      <c r="P32" s="106">
        <v>60</v>
      </c>
      <c r="Q32" s="110"/>
      <c r="R32" s="107">
        <v>8</v>
      </c>
      <c r="S32" s="105">
        <v>-4</v>
      </c>
      <c r="T32" s="105">
        <v>4</v>
      </c>
      <c r="U32" s="105">
        <v>66</v>
      </c>
      <c r="V32" s="106">
        <v>70</v>
      </c>
    </row>
    <row r="33" spans="1:22" ht="15" customHeight="1" outlineLevel="1" x14ac:dyDescent="0.25">
      <c r="A33" s="42" t="s">
        <v>20</v>
      </c>
      <c r="B33" s="107">
        <v>306</v>
      </c>
      <c r="C33" s="105">
        <v>0</v>
      </c>
      <c r="D33" s="105">
        <v>0</v>
      </c>
      <c r="E33" s="105">
        <v>0</v>
      </c>
      <c r="F33" s="105">
        <v>0</v>
      </c>
      <c r="G33" s="105">
        <v>0</v>
      </c>
      <c r="H33" s="106">
        <v>0</v>
      </c>
      <c r="I33" s="110"/>
      <c r="J33" s="107">
        <v>420</v>
      </c>
      <c r="K33" s="105">
        <v>382</v>
      </c>
      <c r="L33" s="105">
        <v>802</v>
      </c>
      <c r="M33" s="105">
        <v>381</v>
      </c>
      <c r="N33" s="105">
        <v>1183</v>
      </c>
      <c r="O33" s="105">
        <v>367</v>
      </c>
      <c r="P33" s="106">
        <v>1550</v>
      </c>
      <c r="Q33" s="110"/>
      <c r="R33" s="107">
        <v>158</v>
      </c>
      <c r="S33" s="105">
        <v>353</v>
      </c>
      <c r="T33" s="105">
        <v>511</v>
      </c>
      <c r="U33" s="105">
        <v>461</v>
      </c>
      <c r="V33" s="106">
        <v>972</v>
      </c>
    </row>
    <row r="34" spans="1:22" ht="15" customHeight="1" outlineLevel="1" x14ac:dyDescent="0.25">
      <c r="A34" s="42" t="s">
        <v>55</v>
      </c>
      <c r="B34" s="107">
        <v>288</v>
      </c>
      <c r="C34" s="105">
        <v>0</v>
      </c>
      <c r="D34" s="105">
        <v>0</v>
      </c>
      <c r="E34" s="105">
        <v>0</v>
      </c>
      <c r="F34" s="105">
        <v>0</v>
      </c>
      <c r="G34" s="105">
        <v>0</v>
      </c>
      <c r="H34" s="106">
        <v>0</v>
      </c>
      <c r="I34" s="110"/>
      <c r="J34" s="107">
        <v>273</v>
      </c>
      <c r="K34" s="105">
        <v>267</v>
      </c>
      <c r="L34" s="116">
        <v>540</v>
      </c>
      <c r="M34" s="105">
        <v>275</v>
      </c>
      <c r="N34" s="105">
        <v>815</v>
      </c>
      <c r="O34" s="105">
        <v>284</v>
      </c>
      <c r="P34" s="117">
        <v>1099</v>
      </c>
      <c r="Q34" s="110"/>
      <c r="R34" s="107">
        <v>129</v>
      </c>
      <c r="S34" s="105">
        <v>291</v>
      </c>
      <c r="T34" s="105">
        <v>420</v>
      </c>
      <c r="U34" s="105">
        <v>270</v>
      </c>
      <c r="V34" s="117">
        <v>690</v>
      </c>
    </row>
    <row r="35" spans="1:22" s="158" customFormat="1" ht="15" customHeight="1" outlineLevel="1" x14ac:dyDescent="0.4">
      <c r="A35" s="42" t="s">
        <v>56</v>
      </c>
      <c r="B35" s="154">
        <v>0</v>
      </c>
      <c r="C35" s="112">
        <v>0</v>
      </c>
      <c r="D35" s="112">
        <v>0</v>
      </c>
      <c r="E35" s="112">
        <v>0</v>
      </c>
      <c r="F35" s="112">
        <v>0</v>
      </c>
      <c r="G35" s="112">
        <v>0</v>
      </c>
      <c r="H35" s="113">
        <v>0</v>
      </c>
      <c r="I35" s="157"/>
      <c r="J35" s="154">
        <v>0</v>
      </c>
      <c r="K35" s="105">
        <v>0</v>
      </c>
      <c r="L35" s="190">
        <v>0</v>
      </c>
      <c r="M35" s="105">
        <v>0</v>
      </c>
      <c r="N35" s="155">
        <v>0</v>
      </c>
      <c r="O35" s="105">
        <v>0</v>
      </c>
      <c r="P35" s="191">
        <v>0</v>
      </c>
      <c r="Q35" s="157"/>
      <c r="R35" s="195">
        <v>0</v>
      </c>
      <c r="S35" s="190">
        <v>0</v>
      </c>
      <c r="T35" s="190">
        <v>0</v>
      </c>
      <c r="U35" s="190">
        <v>0</v>
      </c>
      <c r="V35" s="191">
        <v>0</v>
      </c>
    </row>
    <row r="36" spans="1:22" s="100" customFormat="1" x14ac:dyDescent="0.25">
      <c r="A36" s="88" t="s">
        <v>57</v>
      </c>
      <c r="B36" s="108">
        <v>1630</v>
      </c>
      <c r="C36" s="105">
        <v>0</v>
      </c>
      <c r="D36" s="105">
        <v>0</v>
      </c>
      <c r="E36" s="105">
        <v>0</v>
      </c>
      <c r="F36" s="105">
        <v>0</v>
      </c>
      <c r="G36" s="105">
        <v>0</v>
      </c>
      <c r="H36" s="106">
        <v>0</v>
      </c>
      <c r="I36" s="109"/>
      <c r="J36" s="108">
        <v>1739</v>
      </c>
      <c r="K36" s="105">
        <v>1739</v>
      </c>
      <c r="L36" s="103">
        <v>3478</v>
      </c>
      <c r="M36" s="105">
        <v>1752</v>
      </c>
      <c r="N36" s="103">
        <v>5230</v>
      </c>
      <c r="O36" s="105">
        <v>2388</v>
      </c>
      <c r="P36" s="104">
        <v>7618</v>
      </c>
      <c r="Q36" s="109"/>
      <c r="R36" s="108">
        <v>31</v>
      </c>
      <c r="S36" s="103">
        <v>2143</v>
      </c>
      <c r="T36" s="103">
        <v>2174</v>
      </c>
      <c r="U36" s="103">
        <v>2357</v>
      </c>
      <c r="V36" s="104">
        <v>4531</v>
      </c>
    </row>
    <row r="37" spans="1:22" ht="15" customHeight="1" outlineLevel="1" x14ac:dyDescent="0.25">
      <c r="A37" s="42" t="s">
        <v>58</v>
      </c>
      <c r="B37" s="107">
        <v>0</v>
      </c>
      <c r="C37" s="105">
        <v>0</v>
      </c>
      <c r="D37" s="105">
        <v>0</v>
      </c>
      <c r="E37" s="105">
        <v>0</v>
      </c>
      <c r="F37" s="105">
        <v>0</v>
      </c>
      <c r="G37" s="105">
        <v>0</v>
      </c>
      <c r="H37" s="106">
        <v>0</v>
      </c>
      <c r="I37" s="110"/>
      <c r="J37" s="107">
        <v>0</v>
      </c>
      <c r="K37" s="105">
        <v>0</v>
      </c>
      <c r="L37" s="116">
        <v>0</v>
      </c>
      <c r="M37" s="105">
        <v>0</v>
      </c>
      <c r="N37" s="105">
        <v>0</v>
      </c>
      <c r="O37" s="105">
        <v>0</v>
      </c>
      <c r="P37" s="117">
        <v>0</v>
      </c>
      <c r="Q37" s="110"/>
      <c r="R37" s="170">
        <v>0</v>
      </c>
      <c r="S37" s="105">
        <v>0</v>
      </c>
      <c r="T37" s="105">
        <v>0</v>
      </c>
      <c r="U37" s="105">
        <v>0</v>
      </c>
      <c r="V37" s="117">
        <v>0</v>
      </c>
    </row>
    <row r="38" spans="1:22" ht="15" customHeight="1" outlineLevel="1" x14ac:dyDescent="0.25">
      <c r="A38" s="42" t="s">
        <v>59</v>
      </c>
      <c r="B38" s="107">
        <v>0</v>
      </c>
      <c r="C38" s="105">
        <v>0</v>
      </c>
      <c r="D38" s="105">
        <v>0</v>
      </c>
      <c r="E38" s="105">
        <v>0</v>
      </c>
      <c r="F38" s="105">
        <v>0</v>
      </c>
      <c r="G38" s="105">
        <v>0</v>
      </c>
      <c r="H38" s="106">
        <v>0</v>
      </c>
      <c r="I38" s="110"/>
      <c r="J38" s="107">
        <v>0</v>
      </c>
      <c r="K38" s="105">
        <v>0</v>
      </c>
      <c r="L38" s="116">
        <v>0</v>
      </c>
      <c r="M38" s="105">
        <v>0</v>
      </c>
      <c r="N38" s="105">
        <v>0</v>
      </c>
      <c r="O38" s="105">
        <v>0</v>
      </c>
      <c r="P38" s="117">
        <v>0</v>
      </c>
      <c r="Q38" s="110"/>
      <c r="R38" s="170">
        <v>0</v>
      </c>
      <c r="S38" s="105">
        <v>0</v>
      </c>
      <c r="T38" s="105">
        <v>0</v>
      </c>
      <c r="U38" s="105">
        <v>0</v>
      </c>
      <c r="V38" s="117">
        <v>0</v>
      </c>
    </row>
    <row r="39" spans="1:22" ht="15" customHeight="1" outlineLevel="1" x14ac:dyDescent="0.25">
      <c r="A39" s="42" t="s">
        <v>60</v>
      </c>
      <c r="B39" s="107">
        <v>0</v>
      </c>
      <c r="C39" s="105">
        <v>0</v>
      </c>
      <c r="D39" s="105">
        <v>0</v>
      </c>
      <c r="E39" s="105">
        <v>0</v>
      </c>
      <c r="F39" s="105">
        <v>0</v>
      </c>
      <c r="G39" s="105">
        <v>0</v>
      </c>
      <c r="H39" s="106">
        <v>0</v>
      </c>
      <c r="I39" s="110"/>
      <c r="J39" s="107">
        <v>0</v>
      </c>
      <c r="K39" s="105">
        <v>0</v>
      </c>
      <c r="L39" s="116">
        <v>0</v>
      </c>
      <c r="M39" s="105">
        <v>0</v>
      </c>
      <c r="N39" s="105">
        <v>0</v>
      </c>
      <c r="O39" s="105">
        <v>0</v>
      </c>
      <c r="P39" s="117">
        <v>0</v>
      </c>
      <c r="Q39" s="110"/>
      <c r="R39" s="170">
        <v>0</v>
      </c>
      <c r="S39" s="105">
        <v>0</v>
      </c>
      <c r="T39" s="105">
        <v>0</v>
      </c>
      <c r="U39" s="105">
        <v>0</v>
      </c>
      <c r="V39" s="117">
        <v>0</v>
      </c>
    </row>
    <row r="40" spans="1:22" ht="15" customHeight="1" outlineLevel="1" x14ac:dyDescent="0.25">
      <c r="A40" s="42" t="s">
        <v>61</v>
      </c>
      <c r="B40" s="107">
        <v>0</v>
      </c>
      <c r="C40" s="105">
        <v>0</v>
      </c>
      <c r="D40" s="105">
        <v>0</v>
      </c>
      <c r="E40" s="105">
        <v>0</v>
      </c>
      <c r="F40" s="105">
        <v>0</v>
      </c>
      <c r="G40" s="105">
        <v>0</v>
      </c>
      <c r="H40" s="106">
        <v>0</v>
      </c>
      <c r="I40" s="110"/>
      <c r="J40" s="107">
        <v>0</v>
      </c>
      <c r="K40" s="105">
        <v>0</v>
      </c>
      <c r="L40" s="116">
        <v>0</v>
      </c>
      <c r="M40" s="105">
        <v>0</v>
      </c>
      <c r="N40" s="105">
        <v>0</v>
      </c>
      <c r="O40" s="105">
        <v>14</v>
      </c>
      <c r="P40" s="117">
        <v>14</v>
      </c>
      <c r="Q40" s="110"/>
      <c r="R40" s="170">
        <v>0</v>
      </c>
      <c r="S40" s="105">
        <v>0</v>
      </c>
      <c r="T40" s="105">
        <v>0</v>
      </c>
      <c r="U40" s="105">
        <v>0</v>
      </c>
      <c r="V40" s="117">
        <v>0</v>
      </c>
    </row>
    <row r="41" spans="1:22" ht="15" customHeight="1" outlineLevel="1" x14ac:dyDescent="0.25">
      <c r="A41" s="42" t="s">
        <v>62</v>
      </c>
      <c r="B41" s="107">
        <v>0</v>
      </c>
      <c r="C41" s="105">
        <v>0</v>
      </c>
      <c r="D41" s="105">
        <v>0</v>
      </c>
      <c r="E41" s="105">
        <v>0</v>
      </c>
      <c r="F41" s="105">
        <v>0</v>
      </c>
      <c r="G41" s="105">
        <v>0</v>
      </c>
      <c r="H41" s="106">
        <v>0</v>
      </c>
      <c r="I41" s="110"/>
      <c r="J41" s="107">
        <v>0</v>
      </c>
      <c r="K41" s="105">
        <v>0</v>
      </c>
      <c r="L41" s="116">
        <v>0</v>
      </c>
      <c r="M41" s="105">
        <v>0</v>
      </c>
      <c r="N41" s="105">
        <v>0</v>
      </c>
      <c r="O41" s="105">
        <v>0</v>
      </c>
      <c r="P41" s="117">
        <v>0</v>
      </c>
      <c r="Q41" s="110"/>
      <c r="R41" s="170">
        <v>0</v>
      </c>
      <c r="S41" s="105">
        <v>0</v>
      </c>
      <c r="T41" s="105">
        <v>0</v>
      </c>
      <c r="U41" s="105">
        <v>0</v>
      </c>
      <c r="V41" s="117">
        <v>0</v>
      </c>
    </row>
    <row r="42" spans="1:22" ht="15" customHeight="1" outlineLevel="1" x14ac:dyDescent="0.25">
      <c r="A42" s="42" t="s">
        <v>63</v>
      </c>
      <c r="B42" s="107">
        <v>0</v>
      </c>
      <c r="C42" s="105">
        <v>0</v>
      </c>
      <c r="D42" s="105">
        <v>0</v>
      </c>
      <c r="E42" s="105">
        <v>0</v>
      </c>
      <c r="F42" s="105">
        <v>0</v>
      </c>
      <c r="G42" s="105">
        <v>0</v>
      </c>
      <c r="H42" s="106">
        <v>0</v>
      </c>
      <c r="I42" s="110"/>
      <c r="J42" s="107">
        <v>0</v>
      </c>
      <c r="K42" s="105">
        <v>0</v>
      </c>
      <c r="L42" s="116">
        <v>0</v>
      </c>
      <c r="M42" s="105">
        <v>0</v>
      </c>
      <c r="N42" s="105">
        <v>0</v>
      </c>
      <c r="O42" s="105">
        <v>0</v>
      </c>
      <c r="P42" s="117">
        <v>0</v>
      </c>
      <c r="Q42" s="110"/>
      <c r="R42" s="170">
        <v>0</v>
      </c>
      <c r="S42" s="105">
        <v>0</v>
      </c>
      <c r="T42" s="105">
        <v>0</v>
      </c>
      <c r="U42" s="105">
        <v>0</v>
      </c>
      <c r="V42" s="117">
        <v>0</v>
      </c>
    </row>
    <row r="43" spans="1:22" ht="15" customHeight="1" outlineLevel="1" x14ac:dyDescent="0.25">
      <c r="A43" s="42" t="s">
        <v>14</v>
      </c>
      <c r="B43" s="107">
        <v>88</v>
      </c>
      <c r="C43" s="105">
        <v>0</v>
      </c>
      <c r="D43" s="105">
        <v>0</v>
      </c>
      <c r="E43" s="105">
        <v>0</v>
      </c>
      <c r="F43" s="105">
        <v>0</v>
      </c>
      <c r="G43" s="105">
        <v>0</v>
      </c>
      <c r="H43" s="106">
        <v>0</v>
      </c>
      <c r="I43" s="110"/>
      <c r="J43" s="107">
        <v>87</v>
      </c>
      <c r="K43" s="105">
        <v>87</v>
      </c>
      <c r="L43" s="116">
        <v>174</v>
      </c>
      <c r="M43" s="105">
        <v>89</v>
      </c>
      <c r="N43" s="105">
        <v>263</v>
      </c>
      <c r="O43" s="105">
        <v>87</v>
      </c>
      <c r="P43" s="117">
        <v>350</v>
      </c>
      <c r="Q43" s="110"/>
      <c r="R43" s="107">
        <v>44</v>
      </c>
      <c r="S43" s="105">
        <v>87</v>
      </c>
      <c r="T43" s="105">
        <v>131</v>
      </c>
      <c r="U43" s="105">
        <v>87</v>
      </c>
      <c r="V43" s="117">
        <v>218</v>
      </c>
    </row>
    <row r="44" spans="1:22" ht="17.25" customHeight="1" outlineLevel="1" x14ac:dyDescent="0.4">
      <c r="A44" s="42" t="s">
        <v>34</v>
      </c>
      <c r="B44" s="111">
        <v>0</v>
      </c>
      <c r="C44" s="112">
        <v>0</v>
      </c>
      <c r="D44" s="112">
        <v>0</v>
      </c>
      <c r="E44" s="112">
        <v>0</v>
      </c>
      <c r="F44" s="112">
        <v>0</v>
      </c>
      <c r="G44" s="112">
        <v>0</v>
      </c>
      <c r="H44" s="113">
        <v>0</v>
      </c>
      <c r="I44" s="110"/>
      <c r="J44" s="111">
        <v>0</v>
      </c>
      <c r="K44" s="112">
        <v>-198</v>
      </c>
      <c r="L44" s="112">
        <v>-198</v>
      </c>
      <c r="M44" s="112">
        <v>204</v>
      </c>
      <c r="N44" s="112">
        <v>6</v>
      </c>
      <c r="O44" s="112">
        <v>-4</v>
      </c>
      <c r="P44" s="113">
        <v>2</v>
      </c>
      <c r="Q44" s="110"/>
      <c r="R44" s="111">
        <v>790</v>
      </c>
      <c r="S44" s="112">
        <v>-145</v>
      </c>
      <c r="T44" s="112">
        <v>645</v>
      </c>
      <c r="U44" s="112">
        <v>260</v>
      </c>
      <c r="V44" s="113">
        <v>905</v>
      </c>
    </row>
    <row r="45" spans="1:22" s="100" customFormat="1" x14ac:dyDescent="0.25">
      <c r="A45" s="88" t="s">
        <v>65</v>
      </c>
      <c r="B45" s="108">
        <v>1718</v>
      </c>
      <c r="C45" s="105">
        <v>0</v>
      </c>
      <c r="D45" s="105">
        <v>0</v>
      </c>
      <c r="E45" s="105">
        <v>0</v>
      </c>
      <c r="F45" s="105">
        <v>0</v>
      </c>
      <c r="G45" s="105">
        <v>0</v>
      </c>
      <c r="H45" s="106">
        <v>0</v>
      </c>
      <c r="I45" s="109"/>
      <c r="J45" s="108">
        <v>1826</v>
      </c>
      <c r="K45" s="105">
        <v>1628</v>
      </c>
      <c r="L45" s="118">
        <v>3454</v>
      </c>
      <c r="M45" s="105">
        <v>2045</v>
      </c>
      <c r="N45" s="118">
        <v>5499</v>
      </c>
      <c r="O45" s="105">
        <v>2485</v>
      </c>
      <c r="P45" s="119">
        <v>7984</v>
      </c>
      <c r="Q45" s="109"/>
      <c r="R45" s="108">
        <v>865</v>
      </c>
      <c r="S45" s="103">
        <v>2085</v>
      </c>
      <c r="T45" s="103">
        <v>2950</v>
      </c>
      <c r="U45" s="103">
        <v>2704</v>
      </c>
      <c r="V45" s="104">
        <v>5654</v>
      </c>
    </row>
    <row r="46" spans="1:22" x14ac:dyDescent="0.25">
      <c r="A46" s="42"/>
      <c r="B46" s="108"/>
      <c r="C46" s="110"/>
      <c r="D46" s="110"/>
      <c r="E46" s="110"/>
      <c r="F46" s="110"/>
      <c r="G46" s="110"/>
      <c r="H46" s="120"/>
      <c r="I46" s="110"/>
      <c r="J46" s="108"/>
      <c r="K46" s="110"/>
      <c r="L46" s="110"/>
      <c r="M46" s="110"/>
      <c r="N46" s="110"/>
      <c r="O46" s="110"/>
      <c r="P46" s="120"/>
      <c r="Q46" s="110"/>
      <c r="R46" s="171"/>
      <c r="S46" s="110"/>
      <c r="T46" s="110"/>
      <c r="U46" s="110"/>
      <c r="V46" s="120"/>
    </row>
    <row r="47" spans="1:22" x14ac:dyDescent="0.25">
      <c r="A47" s="42"/>
      <c r="B47" s="108"/>
      <c r="C47" s="110"/>
      <c r="D47" s="110"/>
      <c r="E47" s="110"/>
      <c r="F47" s="110"/>
      <c r="G47" s="110"/>
      <c r="H47" s="120"/>
      <c r="I47" s="110"/>
      <c r="J47" s="108"/>
      <c r="K47" s="110"/>
      <c r="L47" s="110"/>
      <c r="M47" s="110"/>
      <c r="N47" s="110"/>
      <c r="O47" s="110"/>
      <c r="P47" s="120"/>
      <c r="Q47" s="110"/>
      <c r="R47" s="171"/>
      <c r="S47" s="110"/>
      <c r="T47" s="110"/>
      <c r="U47" s="110"/>
      <c r="V47" s="120"/>
    </row>
    <row r="48" spans="1:22" s="100" customFormat="1" x14ac:dyDescent="0.25">
      <c r="A48" s="88" t="s">
        <v>25</v>
      </c>
      <c r="B48" s="108">
        <v>31729</v>
      </c>
      <c r="C48" s="118">
        <v>0</v>
      </c>
      <c r="D48" s="118"/>
      <c r="E48" s="118">
        <v>0</v>
      </c>
      <c r="F48" s="118"/>
      <c r="G48" s="118">
        <v>0</v>
      </c>
      <c r="H48" s="119"/>
      <c r="I48" s="109"/>
      <c r="J48" s="108">
        <v>29355</v>
      </c>
      <c r="K48" s="118">
        <v>28974</v>
      </c>
      <c r="L48" s="118"/>
      <c r="M48" s="118">
        <v>30160</v>
      </c>
      <c r="N48" s="118"/>
      <c r="O48" s="118">
        <v>30008</v>
      </c>
      <c r="P48" s="119"/>
      <c r="Q48" s="109"/>
      <c r="R48" s="172">
        <v>31157</v>
      </c>
      <c r="S48" s="118">
        <v>30537</v>
      </c>
      <c r="T48" s="118"/>
      <c r="U48" s="103">
        <v>29215</v>
      </c>
      <c r="V48" s="119"/>
    </row>
    <row r="49" spans="1:22" s="100" customFormat="1" ht="7.5" customHeight="1" x14ac:dyDescent="0.25">
      <c r="A49" s="88"/>
      <c r="B49" s="108"/>
      <c r="C49" s="118"/>
      <c r="D49" s="118"/>
      <c r="E49" s="109"/>
      <c r="F49" s="118"/>
      <c r="G49" s="118"/>
      <c r="H49" s="119"/>
      <c r="I49" s="110"/>
      <c r="J49" s="108"/>
      <c r="K49" s="118"/>
      <c r="L49" s="118"/>
      <c r="M49" s="109"/>
      <c r="N49" s="118"/>
      <c r="O49" s="118"/>
      <c r="P49" s="119"/>
      <c r="Q49" s="110"/>
      <c r="R49" s="172"/>
      <c r="S49" s="118"/>
      <c r="T49" s="118"/>
      <c r="U49" s="118"/>
      <c r="V49" s="119"/>
    </row>
    <row r="50" spans="1:22" ht="15" customHeight="1" outlineLevel="1" x14ac:dyDescent="0.25">
      <c r="A50" s="42" t="s">
        <v>26</v>
      </c>
      <c r="B50" s="107">
        <v>14751</v>
      </c>
      <c r="C50" s="118">
        <v>0</v>
      </c>
      <c r="D50" s="118"/>
      <c r="E50" s="118">
        <v>0</v>
      </c>
      <c r="F50" s="118"/>
      <c r="G50" s="118">
        <v>0</v>
      </c>
      <c r="H50" s="106"/>
      <c r="I50" s="110"/>
      <c r="J50" s="107">
        <v>15516</v>
      </c>
      <c r="K50" s="116">
        <v>14978</v>
      </c>
      <c r="L50" s="105"/>
      <c r="M50" s="116">
        <v>14369</v>
      </c>
      <c r="N50" s="105"/>
      <c r="O50" s="116">
        <v>13398</v>
      </c>
      <c r="P50" s="106"/>
      <c r="Q50" s="110"/>
      <c r="R50" s="107">
        <v>11086</v>
      </c>
      <c r="S50" s="105">
        <v>18573</v>
      </c>
      <c r="T50" s="105"/>
      <c r="U50" s="105">
        <v>16314</v>
      </c>
      <c r="V50" s="106"/>
    </row>
    <row r="51" spans="1:22" ht="15" customHeight="1" outlineLevel="1" x14ac:dyDescent="0.25">
      <c r="A51" s="42" t="s">
        <v>28</v>
      </c>
      <c r="B51" s="107">
        <v>12239</v>
      </c>
      <c r="C51" s="118">
        <v>0</v>
      </c>
      <c r="D51" s="118"/>
      <c r="E51" s="118">
        <v>0</v>
      </c>
      <c r="F51" s="118"/>
      <c r="G51" s="118">
        <v>0</v>
      </c>
      <c r="H51" s="106"/>
      <c r="I51" s="110"/>
      <c r="J51" s="107">
        <v>12188</v>
      </c>
      <c r="K51" s="105">
        <v>11745</v>
      </c>
      <c r="L51" s="105"/>
      <c r="M51" s="105">
        <v>12784</v>
      </c>
      <c r="N51" s="105"/>
      <c r="O51" s="105">
        <v>12477</v>
      </c>
      <c r="P51" s="106"/>
      <c r="Q51" s="110"/>
      <c r="R51" s="107">
        <v>11199</v>
      </c>
      <c r="S51" s="105">
        <v>11619</v>
      </c>
      <c r="T51" s="105"/>
      <c r="U51" s="105">
        <v>11682</v>
      </c>
      <c r="V51" s="106"/>
    </row>
    <row r="52" spans="1:22" s="100" customFormat="1" x14ac:dyDescent="0.25">
      <c r="A52" s="88" t="s">
        <v>29</v>
      </c>
      <c r="B52" s="108">
        <v>26990</v>
      </c>
      <c r="C52" s="118">
        <v>0</v>
      </c>
      <c r="D52" s="118"/>
      <c r="E52" s="118">
        <v>0</v>
      </c>
      <c r="F52" s="118"/>
      <c r="G52" s="118">
        <v>0</v>
      </c>
      <c r="H52" s="104"/>
      <c r="I52" s="109"/>
      <c r="J52" s="108">
        <v>27704</v>
      </c>
      <c r="K52" s="118">
        <v>26723</v>
      </c>
      <c r="L52" s="103"/>
      <c r="M52" s="118">
        <v>27153</v>
      </c>
      <c r="N52" s="103"/>
      <c r="O52" s="118">
        <v>25875</v>
      </c>
      <c r="P52" s="104"/>
      <c r="Q52" s="109"/>
      <c r="R52" s="108">
        <v>22285</v>
      </c>
      <c r="S52" s="103">
        <v>30192</v>
      </c>
      <c r="T52" s="103"/>
      <c r="U52" s="103">
        <v>27996</v>
      </c>
      <c r="V52" s="104"/>
    </row>
    <row r="53" spans="1:22" s="100" customFormat="1" ht="7.5" customHeight="1" x14ac:dyDescent="0.25">
      <c r="A53" s="88"/>
      <c r="B53" s="108"/>
      <c r="C53" s="118"/>
      <c r="D53" s="103"/>
      <c r="E53" s="118"/>
      <c r="F53" s="103"/>
      <c r="G53" s="118"/>
      <c r="H53" s="104"/>
      <c r="I53" s="110"/>
      <c r="J53" s="108"/>
      <c r="K53" s="118"/>
      <c r="L53" s="103"/>
      <c r="M53" s="118"/>
      <c r="N53" s="103"/>
      <c r="O53" s="118"/>
      <c r="P53" s="104"/>
      <c r="Q53" s="110"/>
      <c r="R53" s="108"/>
      <c r="S53" s="103"/>
      <c r="T53" s="103"/>
      <c r="U53" s="118"/>
      <c r="V53" s="104"/>
    </row>
    <row r="54" spans="1:22" s="100" customFormat="1" x14ac:dyDescent="0.25">
      <c r="A54" s="88" t="s">
        <v>36</v>
      </c>
      <c r="B54" s="108">
        <v>4739</v>
      </c>
      <c r="C54" s="118">
        <v>0</v>
      </c>
      <c r="D54" s="118"/>
      <c r="E54" s="118">
        <v>0</v>
      </c>
      <c r="F54" s="118"/>
      <c r="G54" s="118">
        <v>0</v>
      </c>
      <c r="H54" s="104"/>
      <c r="I54" s="109"/>
      <c r="J54" s="108">
        <v>1651</v>
      </c>
      <c r="K54" s="118">
        <v>2251</v>
      </c>
      <c r="L54" s="103"/>
      <c r="M54" s="118">
        <v>3007</v>
      </c>
      <c r="N54" s="103"/>
      <c r="O54" s="118">
        <v>4133</v>
      </c>
      <c r="P54" s="104"/>
      <c r="Q54" s="109"/>
      <c r="R54" s="108">
        <v>8872</v>
      </c>
      <c r="S54" s="103">
        <v>345</v>
      </c>
      <c r="T54" s="103"/>
      <c r="U54" s="103">
        <v>1219</v>
      </c>
      <c r="V54" s="104"/>
    </row>
    <row r="55" spans="1:22" ht="7.5" customHeight="1" x14ac:dyDescent="0.25">
      <c r="A55" s="42"/>
      <c r="B55" s="108"/>
      <c r="C55" s="116"/>
      <c r="D55" s="116"/>
      <c r="E55" s="116"/>
      <c r="F55" s="116"/>
      <c r="G55" s="116"/>
      <c r="H55" s="117"/>
      <c r="I55" s="110"/>
      <c r="J55" s="108"/>
      <c r="K55" s="116"/>
      <c r="L55" s="116"/>
      <c r="M55" s="116"/>
      <c r="N55" s="116"/>
      <c r="O55" s="116"/>
      <c r="P55" s="117"/>
      <c r="Q55" s="110"/>
      <c r="R55" s="170"/>
      <c r="S55" s="116"/>
      <c r="T55" s="116"/>
      <c r="U55" s="116"/>
      <c r="V55" s="117"/>
    </row>
    <row r="56" spans="1:22" s="100" customFormat="1" x14ac:dyDescent="0.25">
      <c r="A56" s="88" t="s">
        <v>66</v>
      </c>
      <c r="B56" s="108"/>
      <c r="C56" s="118"/>
      <c r="D56" s="118"/>
      <c r="E56" s="118"/>
      <c r="F56" s="118"/>
      <c r="G56" s="118"/>
      <c r="H56" s="119"/>
      <c r="I56" s="110"/>
      <c r="J56" s="108"/>
      <c r="K56" s="118"/>
      <c r="L56" s="118"/>
      <c r="M56" s="118"/>
      <c r="N56" s="118"/>
      <c r="O56" s="118"/>
      <c r="P56" s="119"/>
      <c r="Q56" s="110"/>
      <c r="R56" s="172"/>
      <c r="S56" s="103"/>
      <c r="T56" s="118"/>
      <c r="U56" s="103"/>
      <c r="V56" s="119"/>
    </row>
    <row r="57" spans="1:22" s="100" customFormat="1" ht="7.5" customHeight="1" x14ac:dyDescent="0.25">
      <c r="A57" s="88"/>
      <c r="B57" s="108"/>
      <c r="C57" s="118"/>
      <c r="D57" s="118"/>
      <c r="E57" s="109"/>
      <c r="F57" s="118"/>
      <c r="G57" s="118"/>
      <c r="H57" s="119"/>
      <c r="I57" s="110"/>
      <c r="J57" s="108"/>
      <c r="K57" s="118"/>
      <c r="L57" s="118"/>
      <c r="M57" s="109"/>
      <c r="N57" s="118"/>
      <c r="O57" s="118"/>
      <c r="P57" s="119"/>
      <c r="Q57" s="110"/>
      <c r="R57" s="172"/>
      <c r="S57" s="118"/>
      <c r="T57" s="118"/>
      <c r="U57" s="118"/>
      <c r="V57" s="119"/>
    </row>
    <row r="58" spans="1:22" s="100" customFormat="1" x14ac:dyDescent="0.25">
      <c r="A58" s="121" t="s">
        <v>67</v>
      </c>
      <c r="B58" s="108">
        <v>81</v>
      </c>
      <c r="C58" s="109">
        <v>0</v>
      </c>
      <c r="D58" s="118"/>
      <c r="E58" s="109">
        <v>0</v>
      </c>
      <c r="F58" s="118"/>
      <c r="G58" s="109">
        <v>0</v>
      </c>
      <c r="H58" s="119"/>
      <c r="I58" s="110"/>
      <c r="J58" s="108">
        <v>44</v>
      </c>
      <c r="K58" s="109">
        <v>168</v>
      </c>
      <c r="L58" s="118"/>
      <c r="M58" s="109">
        <v>387</v>
      </c>
      <c r="N58" s="118"/>
      <c r="O58" s="109">
        <v>455</v>
      </c>
      <c r="P58" s="119"/>
      <c r="Q58" s="110"/>
      <c r="R58" s="172">
        <v>3</v>
      </c>
      <c r="S58" s="103">
        <v>199</v>
      </c>
      <c r="T58" s="118"/>
      <c r="U58" s="103">
        <v>304</v>
      </c>
      <c r="V58" s="119"/>
    </row>
    <row r="59" spans="1:22" s="100" customFormat="1" x14ac:dyDescent="0.25">
      <c r="A59" s="88" t="s">
        <v>68</v>
      </c>
      <c r="B59" s="146"/>
      <c r="C59" s="125"/>
      <c r="D59" s="123"/>
      <c r="E59" s="125"/>
      <c r="F59" s="123"/>
      <c r="G59" s="125"/>
      <c r="H59" s="147"/>
      <c r="I59" s="148"/>
      <c r="J59" s="146"/>
      <c r="K59" s="125"/>
      <c r="L59" s="123"/>
      <c r="M59" s="125"/>
      <c r="N59" s="123"/>
      <c r="O59" s="125"/>
      <c r="P59" s="147"/>
      <c r="Q59" s="148"/>
      <c r="R59" s="146"/>
      <c r="S59" s="123"/>
      <c r="T59" s="123"/>
      <c r="U59" s="125"/>
      <c r="V59" s="147"/>
    </row>
    <row r="60" spans="1:22" s="100" customFormat="1" ht="15.75" thickBot="1" x14ac:dyDescent="0.3">
      <c r="A60" s="127" t="s">
        <v>69</v>
      </c>
      <c r="B60" s="150"/>
      <c r="C60" s="136"/>
      <c r="D60" s="130"/>
      <c r="E60" s="136"/>
      <c r="F60" s="130"/>
      <c r="G60" s="136"/>
      <c r="H60" s="151"/>
      <c r="I60" s="130"/>
      <c r="J60" s="150"/>
      <c r="K60" s="136"/>
      <c r="L60" s="130"/>
      <c r="M60" s="136"/>
      <c r="N60" s="130"/>
      <c r="O60" s="136"/>
      <c r="P60" s="151"/>
      <c r="Q60" s="130"/>
      <c r="R60" s="150"/>
      <c r="S60" s="130"/>
      <c r="T60" s="130"/>
      <c r="U60" s="136"/>
      <c r="V60" s="151"/>
    </row>
  </sheetData>
  <pageMargins left="0.7" right="0.7" top="0.75" bottom="0.75" header="0.3" footer="0.3"/>
  <pageSetup scale="4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M73"/>
  <sheetViews>
    <sheetView showGridLines="0" topLeftCell="B1" zoomScaleNormal="100" workbookViewId="0">
      <selection activeCell="B1" sqref="B1"/>
    </sheetView>
  </sheetViews>
  <sheetFormatPr defaultColWidth="9.140625" defaultRowHeight="15" outlineLevelRow="1" outlineLevelCol="1" x14ac:dyDescent="0.25"/>
  <cols>
    <col min="1" max="1" width="14.85546875" style="95" hidden="1" customWidth="1" outlineLevel="1"/>
    <col min="2" max="2" width="40.140625" style="95" customWidth="1" collapsed="1"/>
    <col min="3" max="4" width="9" style="95" customWidth="1"/>
    <col min="5" max="5" width="9.5703125" style="95" bestFit="1" customWidth="1"/>
    <col min="6" max="14" width="9" style="95" customWidth="1"/>
    <col min="15" max="15" width="10.42578125" style="95" customWidth="1"/>
    <col min="16" max="21" width="9" style="95" customWidth="1"/>
    <col min="22" max="22" width="3.7109375" style="95" customWidth="1"/>
    <col min="23" max="29" width="9" style="95" customWidth="1"/>
    <col min="30" max="30" width="1.5703125" style="95" customWidth="1"/>
    <col min="31" max="31" width="9.5703125" style="95" bestFit="1" customWidth="1"/>
    <col min="32" max="34" width="9.5703125" style="95" customWidth="1"/>
    <col min="35" max="35" width="13.28515625" style="95" bestFit="1" customWidth="1"/>
    <col min="36" max="36" width="9.28515625" style="95" customWidth="1"/>
    <col min="37" max="37" width="10.7109375" style="95" customWidth="1"/>
    <col min="38" max="38" width="2.42578125" style="95" customWidth="1"/>
    <col min="39" max="45" width="10" style="95" customWidth="1"/>
    <col min="46" max="46" width="2.42578125" style="95" customWidth="1"/>
    <col min="47" max="53" width="9" style="95" customWidth="1"/>
    <col min="54" max="54" width="2.5703125" style="95" customWidth="1"/>
    <col min="55" max="55" width="9.5703125" style="95" bestFit="1" customWidth="1"/>
    <col min="56" max="61" width="9.5703125" style="95" customWidth="1"/>
    <col min="62" max="62" width="2.28515625" style="95" customWidth="1"/>
    <col min="63" max="69" width="9" style="95" customWidth="1"/>
    <col min="70" max="70" width="2.140625" style="95" customWidth="1"/>
    <col min="71" max="71" width="9.5703125" style="95" bestFit="1" customWidth="1"/>
    <col min="72" max="77" width="9.5703125" style="95" customWidth="1"/>
    <col min="78" max="78" width="2.28515625" style="95" customWidth="1"/>
    <col min="79" max="80" width="9" style="95" customWidth="1"/>
    <col min="81" max="81" width="9" style="95" hidden="1" customWidth="1" outlineLevel="1"/>
    <col min="82" max="82" width="9" style="95" customWidth="1" collapsed="1"/>
    <col min="83" max="83" width="9" style="95" hidden="1" customWidth="1" outlineLevel="1"/>
    <col min="84" max="84" width="9" style="95" customWidth="1" collapsed="1"/>
    <col min="85" max="85" width="9" style="95" customWidth="1"/>
    <col min="86" max="86" width="1.7109375" style="95" customWidth="1"/>
    <col min="87" max="88" width="9" style="95" customWidth="1"/>
    <col min="89" max="89" width="8" style="95" hidden="1" customWidth="1" outlineLevel="1"/>
    <col min="90" max="90" width="11.5703125" style="95" customWidth="1" collapsed="1"/>
    <col min="91" max="91" width="11.5703125" style="95" hidden="1" customWidth="1" outlineLevel="1"/>
    <col min="92" max="92" width="12.28515625" style="95" customWidth="1" collapsed="1"/>
    <col min="93" max="93" width="11.5703125" style="95" customWidth="1"/>
    <col min="94" max="94" width="2.28515625" style="95" customWidth="1"/>
    <col min="95" max="95" width="9" style="144" customWidth="1"/>
    <col min="96" max="96" width="9.5703125" style="144" customWidth="1"/>
    <col min="97" max="97" width="8" style="95" hidden="1" customWidth="1" outlineLevel="1"/>
    <col min="98" max="98" width="9" style="95" customWidth="1" collapsed="1"/>
    <col min="99" max="99" width="9" style="95" hidden="1" customWidth="1" outlineLevel="1"/>
    <col min="100" max="100" width="9" style="95" customWidth="1" collapsed="1"/>
    <col min="101" max="101" width="9" style="95" customWidth="1"/>
    <col min="102" max="102" width="2.140625" style="95" customWidth="1"/>
    <col min="103" max="104" width="9" style="144" customWidth="1"/>
    <col min="105" max="105" width="8" style="95" hidden="1" customWidth="1" outlineLevel="1"/>
    <col min="106" max="106" width="9" style="95" customWidth="1" collapsed="1"/>
    <col min="107" max="107" width="9" style="95" hidden="1" customWidth="1" outlineLevel="1"/>
    <col min="108" max="108" width="9" style="95" customWidth="1" collapsed="1"/>
    <col min="109" max="109" width="9" style="95" customWidth="1"/>
    <col min="110" max="110" width="2.140625" style="95" customWidth="1"/>
    <col min="111" max="112" width="9" style="95" customWidth="1"/>
    <col min="113" max="113" width="8" style="95" hidden="1" customWidth="1" outlineLevel="1"/>
    <col min="114" max="114" width="9" style="95" customWidth="1" collapsed="1"/>
    <col min="115" max="115" width="9" style="95" hidden="1" customWidth="1" outlineLevel="1"/>
    <col min="116" max="116" width="9" style="95" customWidth="1" collapsed="1"/>
    <col min="117" max="117" width="9" style="95" customWidth="1"/>
    <col min="118" max="16384" width="9.140625" style="95"/>
  </cols>
  <sheetData>
    <row r="1" spans="2:117" x14ac:dyDescent="0.25">
      <c r="B1" s="8" t="s">
        <v>70</v>
      </c>
      <c r="C1" s="79">
        <v>128.80000000000001</v>
      </c>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92"/>
      <c r="CK1" s="92"/>
      <c r="CL1" s="92"/>
      <c r="CM1" s="92"/>
      <c r="CN1" s="92"/>
      <c r="CO1" s="92"/>
      <c r="CP1" s="92"/>
      <c r="CQ1" s="93"/>
      <c r="CR1" s="93"/>
      <c r="CS1" s="92"/>
      <c r="CT1" s="92"/>
      <c r="CU1" s="92"/>
      <c r="CV1" s="92"/>
      <c r="CW1" s="92"/>
      <c r="CX1" s="92"/>
      <c r="CY1" s="93"/>
      <c r="CZ1" s="93"/>
      <c r="DA1" s="92"/>
      <c r="DB1" s="92"/>
      <c r="DC1" s="92"/>
      <c r="DD1" s="92"/>
      <c r="DE1" s="92"/>
      <c r="DF1" s="92"/>
      <c r="DG1" s="92"/>
      <c r="DH1" s="92"/>
      <c r="DI1" s="92"/>
      <c r="DJ1" s="92"/>
      <c r="DK1" s="92"/>
      <c r="DL1" s="92"/>
      <c r="DM1" s="92"/>
    </row>
    <row r="2" spans="2:117" x14ac:dyDescent="0.25">
      <c r="B2" s="42" t="s">
        <v>42</v>
      </c>
      <c r="C2" s="74">
        <v>49.5</v>
      </c>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75"/>
      <c r="CK2" s="77"/>
      <c r="CL2" s="77"/>
      <c r="CM2" s="77"/>
      <c r="CN2" s="77"/>
      <c r="CO2" s="77"/>
      <c r="CP2" s="77"/>
      <c r="CQ2" s="77"/>
      <c r="CR2" s="77"/>
      <c r="CS2" s="77"/>
      <c r="CT2" s="77"/>
      <c r="CU2" s="77"/>
      <c r="CV2" s="77"/>
      <c r="CW2" s="77"/>
      <c r="CX2" s="77"/>
      <c r="CY2" s="77"/>
      <c r="CZ2" s="77"/>
      <c r="DA2" s="77"/>
      <c r="DB2" s="77"/>
      <c r="DC2" s="77"/>
      <c r="DD2" s="77"/>
      <c r="DE2" s="77"/>
      <c r="DF2" s="77"/>
      <c r="DG2" s="77"/>
      <c r="DH2" s="77"/>
      <c r="DI2" s="77"/>
      <c r="DJ2" s="77"/>
      <c r="DK2" s="77"/>
      <c r="DL2" s="77"/>
      <c r="DM2" s="77"/>
    </row>
    <row r="3" spans="2:117" ht="15" customHeight="1" x14ac:dyDescent="0.25">
      <c r="B3" s="42" t="s">
        <v>43</v>
      </c>
      <c r="C3" s="74">
        <v>1.7</v>
      </c>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75"/>
      <c r="CK3" s="97"/>
      <c r="CL3" s="77"/>
      <c r="CM3" s="77"/>
      <c r="CN3" s="77"/>
      <c r="CO3" s="77"/>
      <c r="CP3" s="77"/>
      <c r="CQ3" s="77"/>
      <c r="CR3" s="77"/>
      <c r="CS3" s="77"/>
      <c r="CT3" s="77"/>
      <c r="CU3" s="77"/>
      <c r="CV3" s="77"/>
      <c r="CW3" s="77"/>
      <c r="CX3" s="77"/>
      <c r="CY3" s="77"/>
      <c r="CZ3" s="77"/>
      <c r="DA3" s="77"/>
      <c r="DB3" s="77"/>
      <c r="DC3" s="77"/>
      <c r="DD3" s="77"/>
      <c r="DE3" s="77"/>
      <c r="DF3" s="77"/>
      <c r="DG3" s="77"/>
      <c r="DH3" s="77"/>
      <c r="DI3" s="77"/>
      <c r="DJ3" s="77"/>
      <c r="DK3" s="77"/>
      <c r="DL3" s="77"/>
      <c r="DM3" s="77"/>
    </row>
    <row r="4" spans="2:117" ht="15" customHeight="1" x14ac:dyDescent="0.25">
      <c r="B4" s="42" t="s">
        <v>44</v>
      </c>
      <c r="C4" s="74">
        <f>C1-C2-C3</f>
        <v>77.600000000000009</v>
      </c>
      <c r="D4" s="517"/>
      <c r="E4" s="517"/>
      <c r="F4" s="517"/>
      <c r="G4" s="517"/>
      <c r="H4" s="517"/>
      <c r="I4" s="517"/>
      <c r="J4" s="517"/>
      <c r="K4" s="517"/>
      <c r="L4" s="517"/>
      <c r="M4" s="517"/>
      <c r="N4" s="517"/>
      <c r="O4" s="517"/>
      <c r="P4" s="517"/>
      <c r="Q4" s="517"/>
      <c r="R4" s="517"/>
      <c r="S4" s="517"/>
      <c r="T4" s="517"/>
      <c r="U4" s="517"/>
      <c r="V4" s="517"/>
      <c r="W4" s="517"/>
      <c r="X4" s="517"/>
      <c r="Y4" s="517"/>
      <c r="Z4" s="517"/>
      <c r="AA4" s="517"/>
      <c r="AB4" s="517"/>
      <c r="AC4" s="517"/>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75"/>
      <c r="CK4" s="9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row>
    <row r="5" spans="2:117" ht="15" customHeight="1" x14ac:dyDescent="0.25">
      <c r="B5" s="42"/>
      <c r="C5" s="74"/>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75"/>
      <c r="CK5" s="9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row>
    <row r="6" spans="2:117" ht="15" customHeight="1" thickBot="1" x14ac:dyDescent="0.3">
      <c r="B6" s="330" t="s">
        <v>183</v>
      </c>
      <c r="C6" s="487">
        <v>35.4</v>
      </c>
      <c r="D6" s="494"/>
      <c r="E6" s="494"/>
      <c r="F6" s="494"/>
      <c r="G6" s="494"/>
      <c r="H6" s="494"/>
      <c r="I6" s="494"/>
      <c r="J6" s="494"/>
      <c r="K6" s="494"/>
      <c r="L6" s="517"/>
      <c r="M6" s="517"/>
      <c r="N6" s="517"/>
      <c r="O6" s="517"/>
      <c r="P6" s="517"/>
      <c r="Q6" s="517"/>
      <c r="R6" s="517"/>
      <c r="S6" s="517"/>
      <c r="T6" s="517"/>
      <c r="U6" s="517"/>
      <c r="V6" s="517"/>
      <c r="W6" s="517"/>
      <c r="X6" s="517"/>
      <c r="Y6" s="517"/>
      <c r="Z6" s="517"/>
      <c r="AA6" s="517"/>
      <c r="AB6" s="517"/>
      <c r="AC6" s="517"/>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75"/>
      <c r="CK6" s="9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row>
    <row r="7" spans="2:117" ht="15" customHeight="1" x14ac:dyDescent="0.25">
      <c r="B7" s="585"/>
      <c r="C7" s="494"/>
      <c r="D7" s="517"/>
      <c r="E7" s="517"/>
      <c r="F7" s="517"/>
      <c r="G7" s="494"/>
      <c r="H7" s="494"/>
      <c r="I7" s="494"/>
      <c r="J7" s="494"/>
      <c r="K7" s="494"/>
      <c r="L7" s="517"/>
      <c r="M7" s="517"/>
      <c r="N7" s="517"/>
      <c r="O7" s="517"/>
      <c r="P7" s="517"/>
      <c r="Q7" s="517"/>
      <c r="R7" s="517"/>
      <c r="S7" s="517"/>
      <c r="T7" s="517"/>
      <c r="U7" s="517"/>
      <c r="V7" s="517"/>
      <c r="W7" s="517"/>
      <c r="X7" s="517"/>
      <c r="Y7" s="517"/>
      <c r="Z7" s="517"/>
      <c r="AA7" s="517"/>
      <c r="AB7" s="517"/>
      <c r="AC7" s="517"/>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75"/>
      <c r="CK7" s="9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row>
    <row r="8" spans="2:117" ht="15" hidden="1" customHeight="1" x14ac:dyDescent="0.25">
      <c r="B8" s="585"/>
      <c r="C8" s="495"/>
      <c r="D8" s="495"/>
      <c r="E8" s="495"/>
      <c r="F8" s="495"/>
      <c r="G8" s="495"/>
      <c r="H8" s="495"/>
      <c r="I8" s="495"/>
      <c r="J8" s="495"/>
      <c r="K8" s="495"/>
      <c r="L8" s="495"/>
      <c r="M8" s="495"/>
      <c r="N8" s="495"/>
      <c r="O8" s="495"/>
      <c r="P8" s="495"/>
      <c r="Q8" s="495"/>
      <c r="R8" s="495"/>
      <c r="S8" s="495"/>
      <c r="T8" s="495"/>
      <c r="U8" s="495"/>
      <c r="V8" s="495"/>
      <c r="W8" s="495"/>
      <c r="X8" s="495"/>
      <c r="Y8" s="495"/>
      <c r="Z8" s="495"/>
      <c r="AA8" s="495"/>
      <c r="AB8" s="495"/>
      <c r="AC8" s="495"/>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75"/>
      <c r="CK8" s="9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row>
    <row r="9" spans="2:117" ht="15" hidden="1" customHeight="1" x14ac:dyDescent="0.25">
      <c r="B9" s="42"/>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75"/>
      <c r="CK9" s="9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row>
    <row r="10" spans="2:117" ht="15" hidden="1" customHeight="1" x14ac:dyDescent="0.25">
      <c r="B10" s="42"/>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75"/>
      <c r="CK10" s="9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row>
    <row r="11" spans="2:117" hidden="1" x14ac:dyDescent="0.25">
      <c r="B11" s="42"/>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105"/>
      <c r="CK11" s="105"/>
      <c r="CL11" s="105"/>
      <c r="CM11" s="105"/>
      <c r="CN11" s="105"/>
      <c r="CO11" s="105"/>
      <c r="CP11" s="77"/>
      <c r="CQ11" s="105"/>
      <c r="CR11" s="105"/>
      <c r="CS11" s="105"/>
      <c r="CT11" s="105"/>
      <c r="CU11" s="105"/>
      <c r="CV11" s="105"/>
      <c r="CW11" s="105"/>
      <c r="CX11" s="77"/>
      <c r="CY11" s="105"/>
      <c r="CZ11" s="105"/>
      <c r="DA11" s="105"/>
      <c r="DB11" s="105"/>
      <c r="DC11" s="105"/>
      <c r="DD11" s="105"/>
      <c r="DE11" s="105"/>
      <c r="DF11" s="77"/>
      <c r="DG11" s="105"/>
      <c r="DH11" s="105"/>
      <c r="DI11" s="105"/>
      <c r="DJ11" s="105"/>
      <c r="DK11" s="105"/>
      <c r="DL11" s="105"/>
      <c r="DM11" s="105"/>
    </row>
    <row r="12" spans="2:117" hidden="1" x14ac:dyDescent="0.25">
      <c r="B12" s="42"/>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105"/>
      <c r="CK12" s="105"/>
      <c r="CL12" s="105"/>
      <c r="CM12" s="105"/>
      <c r="CN12" s="105"/>
      <c r="CO12" s="105"/>
      <c r="CP12" s="77"/>
      <c r="CQ12" s="105"/>
      <c r="CR12" s="105"/>
      <c r="CS12" s="105"/>
      <c r="CT12" s="105"/>
      <c r="CU12" s="105"/>
      <c r="CV12" s="105"/>
      <c r="CW12" s="105"/>
      <c r="CX12" s="77"/>
      <c r="CY12" s="105"/>
      <c r="CZ12" s="105"/>
      <c r="DA12" s="105"/>
      <c r="DB12" s="105"/>
      <c r="DC12" s="105"/>
      <c r="DD12" s="105"/>
      <c r="DE12" s="105"/>
      <c r="DF12" s="77"/>
      <c r="DG12" s="105"/>
      <c r="DH12" s="105"/>
      <c r="DI12" s="105"/>
      <c r="DJ12" s="105"/>
      <c r="DK12" s="105"/>
      <c r="DL12" s="105"/>
      <c r="DM12" s="105"/>
    </row>
    <row r="13" spans="2:117" ht="15.75" thickBot="1" x14ac:dyDescent="0.3">
      <c r="B13" s="42" t="str" cm="1">
        <f t="array" aca="1" ref="B13" ca="1">MID(CELL("filename",B1),FIND("]",CELL("filename",B1))+1,255)</f>
        <v>Arnold Magnetic</v>
      </c>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77"/>
      <c r="CQ13" s="105"/>
      <c r="CR13" s="105"/>
      <c r="CS13" s="105"/>
      <c r="CT13" s="105"/>
      <c r="CU13" s="105"/>
      <c r="CV13" s="105"/>
      <c r="CW13" s="105"/>
      <c r="CX13" s="77"/>
      <c r="CY13" s="105"/>
      <c r="CZ13" s="105"/>
      <c r="DA13" s="105"/>
      <c r="DB13" s="105"/>
      <c r="DC13" s="105"/>
      <c r="DD13" s="105"/>
      <c r="DE13" s="105"/>
      <c r="DF13" s="77"/>
      <c r="DG13" s="105"/>
      <c r="DH13" s="105"/>
      <c r="DI13" s="105"/>
      <c r="DJ13" s="105"/>
      <c r="DK13" s="105"/>
      <c r="DL13" s="105"/>
      <c r="DM13" s="105"/>
    </row>
    <row r="14" spans="2:117" ht="15.75" thickBot="1" x14ac:dyDescent="0.3">
      <c r="B14" s="42"/>
      <c r="C14" s="9"/>
      <c r="D14" s="9"/>
      <c r="E14" s="737">
        <v>2026</v>
      </c>
      <c r="F14" s="9"/>
      <c r="G14" s="807">
        <v>2025</v>
      </c>
      <c r="H14" s="808"/>
      <c r="I14" s="808"/>
      <c r="J14" s="808"/>
      <c r="K14" s="808"/>
      <c r="L14" s="808"/>
      <c r="M14" s="809"/>
      <c r="N14" s="9"/>
      <c r="O14" s="807">
        <v>2024</v>
      </c>
      <c r="P14" s="808"/>
      <c r="Q14" s="808"/>
      <c r="R14" s="808"/>
      <c r="S14" s="808"/>
      <c r="T14" s="808"/>
      <c r="U14" s="809"/>
      <c r="V14" s="600"/>
      <c r="W14" s="807">
        <v>2023</v>
      </c>
      <c r="X14" s="808"/>
      <c r="Y14" s="808"/>
      <c r="Z14" s="808"/>
      <c r="AA14" s="808"/>
      <c r="AB14" s="808"/>
      <c r="AC14" s="809"/>
      <c r="AD14" s="566"/>
      <c r="AE14" s="807">
        <v>2022</v>
      </c>
      <c r="AF14" s="808"/>
      <c r="AG14" s="808"/>
      <c r="AH14" s="808"/>
      <c r="AI14" s="808"/>
      <c r="AJ14" s="808"/>
      <c r="AK14" s="809"/>
      <c r="AL14" s="9"/>
      <c r="AM14" s="807">
        <v>2021</v>
      </c>
      <c r="AN14" s="808"/>
      <c r="AO14" s="808"/>
      <c r="AP14" s="808"/>
      <c r="AQ14" s="808"/>
      <c r="AR14" s="808"/>
      <c r="AS14" s="809"/>
      <c r="AT14" s="9"/>
      <c r="AU14" s="807">
        <v>2020</v>
      </c>
      <c r="AV14" s="808"/>
      <c r="AW14" s="808"/>
      <c r="AX14" s="808"/>
      <c r="AY14" s="808"/>
      <c r="AZ14" s="808"/>
      <c r="BA14" s="809"/>
      <c r="BB14" s="9"/>
      <c r="BC14" s="813">
        <v>2019</v>
      </c>
      <c r="BD14" s="814"/>
      <c r="BE14" s="814"/>
      <c r="BF14" s="814"/>
      <c r="BG14" s="814"/>
      <c r="BH14" s="814"/>
      <c r="BI14" s="815"/>
      <c r="BJ14" s="9"/>
      <c r="BK14" s="813">
        <v>2018</v>
      </c>
      <c r="BL14" s="814"/>
      <c r="BM14" s="814"/>
      <c r="BN14" s="814"/>
      <c r="BO14" s="814"/>
      <c r="BP14" s="814"/>
      <c r="BQ14" s="815"/>
      <c r="BR14" s="9"/>
      <c r="BS14" s="813">
        <v>2017</v>
      </c>
      <c r="BT14" s="814"/>
      <c r="BU14" s="814"/>
      <c r="BV14" s="814"/>
      <c r="BW14" s="814"/>
      <c r="BX14" s="814"/>
      <c r="BY14" s="815"/>
      <c r="BZ14" s="9"/>
      <c r="CA14" s="813">
        <v>2016</v>
      </c>
      <c r="CB14" s="814"/>
      <c r="CC14" s="814"/>
      <c r="CD14" s="814"/>
      <c r="CE14" s="814"/>
      <c r="CF14" s="814"/>
      <c r="CG14" s="815"/>
      <c r="CH14" s="89"/>
      <c r="CI14" s="813">
        <v>2015</v>
      </c>
      <c r="CJ14" s="814"/>
      <c r="CK14" s="814"/>
      <c r="CL14" s="814"/>
      <c r="CM14" s="814"/>
      <c r="CN14" s="814"/>
      <c r="CO14" s="815"/>
      <c r="CP14" s="77"/>
      <c r="CQ14" s="813">
        <v>2014</v>
      </c>
      <c r="CR14" s="814"/>
      <c r="CS14" s="814"/>
      <c r="CT14" s="814"/>
      <c r="CU14" s="814"/>
      <c r="CV14" s="814"/>
      <c r="CW14" s="815"/>
      <c r="CX14" s="77"/>
      <c r="CY14" s="813">
        <v>2013</v>
      </c>
      <c r="CZ14" s="814"/>
      <c r="DA14" s="814"/>
      <c r="DB14" s="814"/>
      <c r="DC14" s="814"/>
      <c r="DD14" s="814"/>
      <c r="DE14" s="815"/>
      <c r="DF14" s="77"/>
      <c r="DG14" s="813">
        <v>2012</v>
      </c>
      <c r="DH14" s="814"/>
      <c r="DI14" s="814"/>
      <c r="DJ14" s="814"/>
      <c r="DK14" s="814"/>
      <c r="DL14" s="814"/>
      <c r="DM14" s="815"/>
    </row>
    <row r="15" spans="2:117" s="158" customFormat="1" x14ac:dyDescent="0.25">
      <c r="B15" s="114"/>
      <c r="C15" s="283"/>
      <c r="D15" s="283"/>
      <c r="E15" s="728" t="s">
        <v>3</v>
      </c>
      <c r="F15" s="283"/>
      <c r="G15" s="521" t="s">
        <v>3</v>
      </c>
      <c r="H15" s="97" t="s">
        <v>4</v>
      </c>
      <c r="I15" s="97" t="s">
        <v>5</v>
      </c>
      <c r="J15" s="97" t="s">
        <v>6</v>
      </c>
      <c r="K15" s="97" t="s">
        <v>7</v>
      </c>
      <c r="L15" s="546" t="str">
        <f>T15</f>
        <v>Q4 QTD</v>
      </c>
      <c r="M15" s="543" t="str">
        <f>U15</f>
        <v>Q4 YTD</v>
      </c>
      <c r="N15" s="283"/>
      <c r="O15" s="521" t="s">
        <v>3</v>
      </c>
      <c r="P15" s="97" t="s">
        <v>4</v>
      </c>
      <c r="Q15" s="97" t="s">
        <v>5</v>
      </c>
      <c r="R15" s="97" t="s">
        <v>6</v>
      </c>
      <c r="S15" s="97" t="s">
        <v>7</v>
      </c>
      <c r="T15" s="546" t="str">
        <f>AB15</f>
        <v>Q4 QTD</v>
      </c>
      <c r="U15" s="543" t="str">
        <f>AC15</f>
        <v>Q4 YTD</v>
      </c>
      <c r="V15" s="601"/>
      <c r="W15" s="521" t="s">
        <v>3</v>
      </c>
      <c r="X15" s="97" t="s">
        <v>4</v>
      </c>
      <c r="Y15" s="97" t="s">
        <v>5</v>
      </c>
      <c r="Z15" s="97" t="s">
        <v>6</v>
      </c>
      <c r="AA15" s="97" t="s">
        <v>7</v>
      </c>
      <c r="AB15" s="546" t="str">
        <f>AJ15</f>
        <v>Q4 QTD</v>
      </c>
      <c r="AC15" s="543" t="str">
        <f>AK15</f>
        <v>Q4 YTD</v>
      </c>
      <c r="AD15" s="476"/>
      <c r="AE15" s="521" t="s">
        <v>3</v>
      </c>
      <c r="AF15" s="97" t="s">
        <v>4</v>
      </c>
      <c r="AG15" s="97" t="s">
        <v>5</v>
      </c>
      <c r="AH15" s="97" t="s">
        <v>6</v>
      </c>
      <c r="AI15" s="97" t="s">
        <v>7</v>
      </c>
      <c r="AJ15" s="546" t="str">
        <f>AR15</f>
        <v>Q4 QTD</v>
      </c>
      <c r="AK15" s="543" t="str">
        <f>AS15</f>
        <v>Q4 YTD</v>
      </c>
      <c r="AL15" s="283"/>
      <c r="AM15" s="521" t="s">
        <v>3</v>
      </c>
      <c r="AN15" s="97" t="s">
        <v>4</v>
      </c>
      <c r="AO15" s="97" t="s">
        <v>5</v>
      </c>
      <c r="AP15" s="97" t="s">
        <v>6</v>
      </c>
      <c r="AQ15" s="97" t="s">
        <v>7</v>
      </c>
      <c r="AR15" s="97" t="s">
        <v>8</v>
      </c>
      <c r="AS15" s="99" t="s">
        <v>9</v>
      </c>
      <c r="AT15" s="283"/>
      <c r="AU15" s="521" t="s">
        <v>3</v>
      </c>
      <c r="AV15" s="97" t="s">
        <v>4</v>
      </c>
      <c r="AW15" s="97" t="s">
        <v>5</v>
      </c>
      <c r="AX15" s="97" t="s">
        <v>6</v>
      </c>
      <c r="AY15" s="97" t="s">
        <v>7</v>
      </c>
      <c r="AZ15" s="97" t="s">
        <v>8</v>
      </c>
      <c r="BA15" s="99" t="s">
        <v>9</v>
      </c>
      <c r="BB15" s="283"/>
      <c r="BC15" s="153" t="s">
        <v>3</v>
      </c>
      <c r="BD15" s="97" t="s">
        <v>4</v>
      </c>
      <c r="BE15" s="97" t="s">
        <v>5</v>
      </c>
      <c r="BF15" s="97" t="s">
        <v>6</v>
      </c>
      <c r="BG15" s="97" t="s">
        <v>7</v>
      </c>
      <c r="BH15" s="97" t="s">
        <v>8</v>
      </c>
      <c r="BI15" s="99" t="s">
        <v>9</v>
      </c>
      <c r="BJ15" s="283"/>
      <c r="BK15" s="153" t="s">
        <v>3</v>
      </c>
      <c r="BL15" s="97" t="s">
        <v>4</v>
      </c>
      <c r="BM15" s="97" t="s">
        <v>5</v>
      </c>
      <c r="BN15" s="97" t="s">
        <v>6</v>
      </c>
      <c r="BO15" s="97" t="s">
        <v>7</v>
      </c>
      <c r="BP15" s="97" t="s">
        <v>8</v>
      </c>
      <c r="BQ15" s="99" t="s">
        <v>9</v>
      </c>
      <c r="BR15" s="283"/>
      <c r="BS15" s="153" t="s">
        <v>3</v>
      </c>
      <c r="BT15" s="97" t="s">
        <v>4</v>
      </c>
      <c r="BU15" s="97" t="s">
        <v>5</v>
      </c>
      <c r="BV15" s="97" t="s">
        <v>6</v>
      </c>
      <c r="BW15" s="97" t="s">
        <v>7</v>
      </c>
      <c r="BX15" s="97" t="s">
        <v>8</v>
      </c>
      <c r="BY15" s="99" t="s">
        <v>9</v>
      </c>
      <c r="BZ15" s="283"/>
      <c r="CA15" s="153" t="s">
        <v>3</v>
      </c>
      <c r="CB15" s="97" t="s">
        <v>4</v>
      </c>
      <c r="CC15" s="97" t="s">
        <v>5</v>
      </c>
      <c r="CD15" s="97" t="s">
        <v>6</v>
      </c>
      <c r="CE15" s="97" t="s">
        <v>7</v>
      </c>
      <c r="CF15" s="97" t="s">
        <v>8</v>
      </c>
      <c r="CG15" s="99" t="s">
        <v>9</v>
      </c>
      <c r="CH15" s="97"/>
      <c r="CI15" s="153" t="s">
        <v>3</v>
      </c>
      <c r="CJ15" s="97" t="s">
        <v>4</v>
      </c>
      <c r="CK15" s="97" t="s">
        <v>5</v>
      </c>
      <c r="CL15" s="97" t="s">
        <v>6</v>
      </c>
      <c r="CM15" s="97" t="s">
        <v>7</v>
      </c>
      <c r="CN15" s="97" t="s">
        <v>8</v>
      </c>
      <c r="CO15" s="99" t="s">
        <v>9</v>
      </c>
      <c r="CP15" s="115"/>
      <c r="CQ15" s="153" t="s">
        <v>3</v>
      </c>
      <c r="CR15" s="97" t="s">
        <v>4</v>
      </c>
      <c r="CS15" s="97" t="s">
        <v>5</v>
      </c>
      <c r="CT15" s="97" t="s">
        <v>6</v>
      </c>
      <c r="CU15" s="97" t="s">
        <v>7</v>
      </c>
      <c r="CV15" s="97" t="s">
        <v>8</v>
      </c>
      <c r="CW15" s="99" t="s">
        <v>9</v>
      </c>
      <c r="CX15" s="115"/>
      <c r="CY15" s="153" t="s">
        <v>3</v>
      </c>
      <c r="CZ15" s="97" t="s">
        <v>4</v>
      </c>
      <c r="DA15" s="97" t="s">
        <v>5</v>
      </c>
      <c r="DB15" s="97" t="s">
        <v>6</v>
      </c>
      <c r="DC15" s="97" t="s">
        <v>7</v>
      </c>
      <c r="DD15" s="97" t="s">
        <v>8</v>
      </c>
      <c r="DE15" s="99" t="s">
        <v>9</v>
      </c>
      <c r="DF15" s="115"/>
      <c r="DG15" s="153" t="s">
        <v>3</v>
      </c>
      <c r="DH15" s="97" t="s">
        <v>4</v>
      </c>
      <c r="DI15" s="97" t="s">
        <v>5</v>
      </c>
      <c r="DJ15" s="97" t="s">
        <v>6</v>
      </c>
      <c r="DK15" s="97" t="s">
        <v>7</v>
      </c>
      <c r="DL15" s="97" t="s">
        <v>8</v>
      </c>
      <c r="DM15" s="99" t="s">
        <v>9</v>
      </c>
    </row>
    <row r="16" spans="2:117" x14ac:dyDescent="0.25">
      <c r="B16" s="42"/>
      <c r="C16" s="9"/>
      <c r="D16" s="9"/>
      <c r="E16" s="738"/>
      <c r="F16" s="9"/>
      <c r="G16" s="446"/>
      <c r="H16" s="445"/>
      <c r="I16" s="445"/>
      <c r="J16" s="445"/>
      <c r="K16" s="445"/>
      <c r="L16" s="445"/>
      <c r="M16" s="492"/>
      <c r="N16" s="9"/>
      <c r="O16" s="446"/>
      <c r="P16" s="445"/>
      <c r="Q16" s="445"/>
      <c r="R16" s="445"/>
      <c r="S16" s="445"/>
      <c r="T16" s="445"/>
      <c r="U16" s="492"/>
      <c r="V16" s="600"/>
      <c r="W16" s="446"/>
      <c r="X16" s="445"/>
      <c r="Y16" s="445"/>
      <c r="Z16" s="445"/>
      <c r="AA16" s="445"/>
      <c r="AB16" s="445"/>
      <c r="AC16" s="492"/>
      <c r="AD16" s="483"/>
      <c r="AE16" s="446"/>
      <c r="AF16" s="445"/>
      <c r="AG16" s="445"/>
      <c r="AH16" s="445"/>
      <c r="AI16" s="445"/>
      <c r="AJ16" s="445"/>
      <c r="AK16" s="492"/>
      <c r="AL16" s="9"/>
      <c r="AM16" s="446"/>
      <c r="AN16" s="445"/>
      <c r="AO16" s="445"/>
      <c r="AP16" s="445"/>
      <c r="AQ16" s="445"/>
      <c r="AR16" s="445"/>
      <c r="AS16" s="492"/>
      <c r="AT16" s="9"/>
      <c r="AU16" s="446"/>
      <c r="AV16" s="445"/>
      <c r="AW16" s="445"/>
      <c r="AX16" s="445"/>
      <c r="AY16" s="441"/>
      <c r="AZ16" s="441"/>
      <c r="BA16" s="106"/>
      <c r="BB16" s="9"/>
      <c r="BC16" s="107"/>
      <c r="BD16" s="105"/>
      <c r="BE16" s="105"/>
      <c r="BF16" s="105"/>
      <c r="BG16" s="105"/>
      <c r="BH16" s="105"/>
      <c r="BI16" s="106"/>
      <c r="BJ16" s="9"/>
      <c r="BK16" s="107"/>
      <c r="BL16" s="105"/>
      <c r="BM16" s="105"/>
      <c r="BN16" s="105"/>
      <c r="BO16" s="105"/>
      <c r="BP16" s="105"/>
      <c r="BQ16" s="106"/>
      <c r="BR16" s="9"/>
      <c r="BS16" s="107"/>
      <c r="BT16" s="105"/>
      <c r="BU16" s="105"/>
      <c r="BV16" s="105"/>
      <c r="BW16" s="105"/>
      <c r="BX16" s="105"/>
      <c r="BY16" s="106"/>
      <c r="BZ16" s="9"/>
      <c r="CA16" s="107"/>
      <c r="CB16" s="105"/>
      <c r="CC16" s="105"/>
      <c r="CD16" s="105"/>
      <c r="CE16" s="105"/>
      <c r="CF16" s="105"/>
      <c r="CG16" s="106"/>
      <c r="CH16" s="105"/>
      <c r="CI16" s="107"/>
      <c r="CJ16" s="105"/>
      <c r="CK16" s="105"/>
      <c r="CL16" s="105"/>
      <c r="CM16" s="105"/>
      <c r="CN16" s="105"/>
      <c r="CO16" s="106"/>
      <c r="CP16" s="77"/>
      <c r="CQ16" s="107"/>
      <c r="CR16" s="105"/>
      <c r="CS16" s="105"/>
      <c r="CT16" s="105"/>
      <c r="CU16" s="105"/>
      <c r="CV16" s="105"/>
      <c r="CW16" s="106"/>
      <c r="CX16" s="77"/>
      <c r="CY16" s="107"/>
      <c r="CZ16" s="105"/>
      <c r="DA16" s="105"/>
      <c r="DB16" s="105"/>
      <c r="DC16" s="105"/>
      <c r="DD16" s="105"/>
      <c r="DE16" s="106"/>
      <c r="DF16" s="77"/>
      <c r="DG16" s="107"/>
      <c r="DH16" s="105"/>
      <c r="DI16" s="105"/>
      <c r="DJ16" s="105"/>
      <c r="DK16" s="105"/>
      <c r="DL16" s="105"/>
      <c r="DM16" s="106"/>
    </row>
    <row r="17" spans="1:117" s="100" customFormat="1" x14ac:dyDescent="0.25">
      <c r="A17" s="95" t="s">
        <v>10</v>
      </c>
      <c r="B17" s="88" t="s">
        <v>10</v>
      </c>
      <c r="C17" s="9"/>
      <c r="D17" s="9"/>
      <c r="E17" s="706">
        <v>40183.182999999997</v>
      </c>
      <c r="F17" s="9"/>
      <c r="G17" s="567">
        <v>34008.197</v>
      </c>
      <c r="H17" s="442">
        <v>38431.307999999997</v>
      </c>
      <c r="I17" s="442">
        <v>72439.505000000005</v>
      </c>
      <c r="J17" s="442">
        <v>37686.885999999999</v>
      </c>
      <c r="K17" s="442">
        <v>110126.391</v>
      </c>
      <c r="L17" s="442">
        <v>40841.014999999999</v>
      </c>
      <c r="M17" s="104">
        <v>150967.40599999999</v>
      </c>
      <c r="N17" s="9"/>
      <c r="O17" s="567">
        <v>41287</v>
      </c>
      <c r="P17" s="442">
        <v>43155</v>
      </c>
      <c r="Q17" s="442">
        <v>84442</v>
      </c>
      <c r="R17" s="442">
        <v>46103</v>
      </c>
      <c r="S17" s="442">
        <v>130545</v>
      </c>
      <c r="T17" s="442">
        <v>41292</v>
      </c>
      <c r="U17" s="442">
        <v>171837</v>
      </c>
      <c r="V17" s="600"/>
      <c r="W17" s="567">
        <v>40090</v>
      </c>
      <c r="X17" s="442">
        <f>Y17-W17</f>
        <v>40138</v>
      </c>
      <c r="Y17" s="442">
        <v>80228</v>
      </c>
      <c r="Z17" s="442">
        <f>AA17-Y17</f>
        <v>41818</v>
      </c>
      <c r="AA17" s="423">
        <v>122046</v>
      </c>
      <c r="AB17" s="442">
        <f>AC17-AA17</f>
        <v>44632.103000000003</v>
      </c>
      <c r="AC17" s="21">
        <v>166678.103</v>
      </c>
      <c r="AD17" s="483"/>
      <c r="AE17" s="108">
        <v>38165</v>
      </c>
      <c r="AF17" s="442">
        <f>AG17-AE17</f>
        <v>38777</v>
      </c>
      <c r="AG17" s="442">
        <v>76942</v>
      </c>
      <c r="AH17" s="442">
        <f>AI17-AG17</f>
        <v>39377</v>
      </c>
      <c r="AI17" s="442">
        <v>116319</v>
      </c>
      <c r="AJ17" s="406">
        <f>AK17-AI17</f>
        <v>37496</v>
      </c>
      <c r="AK17" s="21">
        <v>153815</v>
      </c>
      <c r="AL17" s="9"/>
      <c r="AM17" s="108">
        <v>32485</v>
      </c>
      <c r="AN17" s="442">
        <v>32556</v>
      </c>
      <c r="AO17" s="442">
        <v>65041</v>
      </c>
      <c r="AP17" s="442">
        <v>36852</v>
      </c>
      <c r="AQ17" s="442">
        <v>101893</v>
      </c>
      <c r="AR17" s="442">
        <f>AS17-AQ17</f>
        <v>38048</v>
      </c>
      <c r="AS17" s="104">
        <v>139941</v>
      </c>
      <c r="AT17" s="9"/>
      <c r="AU17" s="446">
        <v>29558</v>
      </c>
      <c r="AV17" s="442">
        <v>24270</v>
      </c>
      <c r="AW17" s="442">
        <v>53828</v>
      </c>
      <c r="AX17" s="442">
        <v>22619</v>
      </c>
      <c r="AY17" s="442">
        <v>76447</v>
      </c>
      <c r="AZ17" s="442">
        <v>22543</v>
      </c>
      <c r="BA17" s="104">
        <v>98990</v>
      </c>
      <c r="BB17" s="9"/>
      <c r="BC17" s="108">
        <v>30028</v>
      </c>
      <c r="BD17" s="103">
        <v>29481</v>
      </c>
      <c r="BE17" s="103">
        <v>59509</v>
      </c>
      <c r="BF17" s="103">
        <v>30895</v>
      </c>
      <c r="BG17" s="103">
        <v>90404</v>
      </c>
      <c r="BH17" s="103">
        <v>29544</v>
      </c>
      <c r="BI17" s="104">
        <v>119948</v>
      </c>
      <c r="BJ17" s="9"/>
      <c r="BK17" s="108">
        <v>29399</v>
      </c>
      <c r="BL17" s="103">
        <v>31196</v>
      </c>
      <c r="BM17" s="103">
        <v>60595</v>
      </c>
      <c r="BN17" s="103">
        <v>29891</v>
      </c>
      <c r="BO17" s="103">
        <v>90486</v>
      </c>
      <c r="BP17" s="103">
        <v>27374</v>
      </c>
      <c r="BQ17" s="104">
        <v>117860</v>
      </c>
      <c r="BR17" s="9"/>
      <c r="BS17" s="108">
        <v>26496</v>
      </c>
      <c r="BT17" s="103">
        <v>26436</v>
      </c>
      <c r="BU17" s="103">
        <v>52932</v>
      </c>
      <c r="BV17" s="103">
        <v>26489</v>
      </c>
      <c r="BW17" s="103">
        <v>79421</v>
      </c>
      <c r="BX17" s="103">
        <v>26159</v>
      </c>
      <c r="BY17" s="104">
        <v>105580</v>
      </c>
      <c r="BZ17" s="9"/>
      <c r="CA17" s="108">
        <v>27383</v>
      </c>
      <c r="CB17" s="103">
        <v>28496</v>
      </c>
      <c r="CC17" s="103">
        <v>55879</v>
      </c>
      <c r="CD17" s="103">
        <v>26912</v>
      </c>
      <c r="CE17" s="103">
        <v>82791</v>
      </c>
      <c r="CF17" s="103">
        <v>25388</v>
      </c>
      <c r="CG17" s="104">
        <v>108179</v>
      </c>
      <c r="CH17" s="103"/>
      <c r="CI17" s="108">
        <v>31188</v>
      </c>
      <c r="CJ17" s="103">
        <v>29360</v>
      </c>
      <c r="CK17" s="103">
        <v>60548</v>
      </c>
      <c r="CL17" s="103">
        <v>32590</v>
      </c>
      <c r="CM17" s="103">
        <v>93138</v>
      </c>
      <c r="CN17" s="103">
        <v>26856</v>
      </c>
      <c r="CO17" s="104">
        <v>119994</v>
      </c>
      <c r="CP17" s="109"/>
      <c r="CQ17" s="108">
        <v>30679</v>
      </c>
      <c r="CR17" s="103">
        <v>32767</v>
      </c>
      <c r="CS17" s="103">
        <v>63446</v>
      </c>
      <c r="CT17" s="103">
        <v>31456</v>
      </c>
      <c r="CU17" s="103">
        <v>94902</v>
      </c>
      <c r="CV17" s="103">
        <v>28303</v>
      </c>
      <c r="CW17" s="104">
        <v>123205</v>
      </c>
      <c r="CX17" s="109"/>
      <c r="CY17" s="108">
        <v>30373</v>
      </c>
      <c r="CZ17" s="103">
        <v>32651</v>
      </c>
      <c r="DA17" s="103">
        <v>63024</v>
      </c>
      <c r="DB17" s="103">
        <v>32381</v>
      </c>
      <c r="DC17" s="103">
        <v>95405</v>
      </c>
      <c r="DD17" s="103">
        <v>31201</v>
      </c>
      <c r="DE17" s="104">
        <v>126606</v>
      </c>
      <c r="DF17" s="109"/>
      <c r="DG17" s="108">
        <v>11297</v>
      </c>
      <c r="DH17" s="103">
        <v>32539</v>
      </c>
      <c r="DI17" s="103">
        <v>43836</v>
      </c>
      <c r="DJ17" s="103">
        <v>31951</v>
      </c>
      <c r="DK17" s="103">
        <v>75787</v>
      </c>
      <c r="DL17" s="103">
        <v>28397</v>
      </c>
      <c r="DM17" s="104">
        <v>104184</v>
      </c>
    </row>
    <row r="18" spans="1:117" s="282" customFormat="1" ht="17.25" x14ac:dyDescent="0.4">
      <c r="A18" s="95" t="s">
        <v>210</v>
      </c>
      <c r="B18" s="88" t="s">
        <v>11</v>
      </c>
      <c r="C18" s="283"/>
      <c r="D18" s="283"/>
      <c r="E18" s="739">
        <v>29609.78</v>
      </c>
      <c r="F18" s="283"/>
      <c r="G18" s="568">
        <v>26987.097000000002</v>
      </c>
      <c r="H18" s="459">
        <v>29249.243999999999</v>
      </c>
      <c r="I18" s="459">
        <v>56236.341</v>
      </c>
      <c r="J18" s="459">
        <v>28233.853999999999</v>
      </c>
      <c r="K18" s="459">
        <v>84470.195000000007</v>
      </c>
      <c r="L18" s="459">
        <v>30846.392</v>
      </c>
      <c r="M18" s="281">
        <v>115316.587</v>
      </c>
      <c r="N18" s="283"/>
      <c r="O18" s="568">
        <v>29482</v>
      </c>
      <c r="P18" s="459">
        <v>30709</v>
      </c>
      <c r="Q18" s="459">
        <v>60191</v>
      </c>
      <c r="R18" s="459">
        <v>32400</v>
      </c>
      <c r="S18" s="459">
        <v>92591</v>
      </c>
      <c r="T18" s="459">
        <v>33142</v>
      </c>
      <c r="U18" s="459">
        <v>125733</v>
      </c>
      <c r="V18" s="601"/>
      <c r="W18" s="568">
        <v>28049</v>
      </c>
      <c r="X18" s="459">
        <f t="shared" ref="X18:AB44" si="0">Y18-W18</f>
        <v>27685</v>
      </c>
      <c r="Y18" s="459">
        <v>55734</v>
      </c>
      <c r="Z18" s="459">
        <f t="shared" si="0"/>
        <v>29921</v>
      </c>
      <c r="AA18" s="427">
        <v>85655</v>
      </c>
      <c r="AB18" s="459">
        <f t="shared" si="0"/>
        <v>31211.698999999993</v>
      </c>
      <c r="AC18" s="292">
        <v>116866.69899999999</v>
      </c>
      <c r="AD18" s="483"/>
      <c r="AE18" s="280">
        <v>28184</v>
      </c>
      <c r="AF18" s="459">
        <f t="shared" ref="AF18:AF44" si="1">AG18-AE18</f>
        <v>26502</v>
      </c>
      <c r="AG18" s="459">
        <v>54686</v>
      </c>
      <c r="AH18" s="459">
        <f t="shared" ref="AH18:AH38" si="2">AI18-AG18</f>
        <v>26634</v>
      </c>
      <c r="AI18" s="459">
        <v>81320</v>
      </c>
      <c r="AJ18" s="407">
        <f t="shared" ref="AJ18:AJ44" si="3">AK18-AI18</f>
        <v>28111</v>
      </c>
      <c r="AK18" s="292">
        <v>109431</v>
      </c>
      <c r="AL18" s="283"/>
      <c r="AM18" s="280">
        <v>23112</v>
      </c>
      <c r="AN18" s="459">
        <v>23994</v>
      </c>
      <c r="AO18" s="459">
        <v>47106</v>
      </c>
      <c r="AP18" s="459">
        <v>25896</v>
      </c>
      <c r="AQ18" s="459">
        <v>73002</v>
      </c>
      <c r="AR18" s="459">
        <f t="shared" ref="AR18:AR43" si="4">AS18-AQ18</f>
        <v>27476</v>
      </c>
      <c r="AS18" s="281">
        <v>100478</v>
      </c>
      <c r="AT18" s="283"/>
      <c r="AU18" s="447">
        <v>21644</v>
      </c>
      <c r="AV18" s="459">
        <v>18121</v>
      </c>
      <c r="AW18" s="459">
        <v>39765</v>
      </c>
      <c r="AX18" s="459">
        <v>17631</v>
      </c>
      <c r="AY18" s="459">
        <v>57396</v>
      </c>
      <c r="AZ18" s="459">
        <v>18065</v>
      </c>
      <c r="BA18" s="281">
        <v>75461</v>
      </c>
      <c r="BB18" s="283"/>
      <c r="BC18" s="280">
        <v>22789</v>
      </c>
      <c r="BD18" s="196">
        <v>21629</v>
      </c>
      <c r="BE18" s="196">
        <v>44418</v>
      </c>
      <c r="BF18" s="196">
        <v>22561</v>
      </c>
      <c r="BG18" s="196">
        <v>66979</v>
      </c>
      <c r="BH18" s="196">
        <v>21789</v>
      </c>
      <c r="BI18" s="281">
        <v>88768</v>
      </c>
      <c r="BJ18" s="283"/>
      <c r="BK18" s="280">
        <v>21689</v>
      </c>
      <c r="BL18" s="196">
        <v>22411</v>
      </c>
      <c r="BM18" s="196">
        <v>44100</v>
      </c>
      <c r="BN18" s="196">
        <v>22303</v>
      </c>
      <c r="BO18" s="196">
        <v>66403</v>
      </c>
      <c r="BP18" s="196">
        <v>21076</v>
      </c>
      <c r="BQ18" s="281">
        <v>87479</v>
      </c>
      <c r="BR18" s="283"/>
      <c r="BS18" s="280">
        <v>20226</v>
      </c>
      <c r="BT18" s="196">
        <v>19485</v>
      </c>
      <c r="BU18" s="196">
        <v>39711</v>
      </c>
      <c r="BV18" s="196">
        <v>19136</v>
      </c>
      <c r="BW18" s="196">
        <v>58847</v>
      </c>
      <c r="BX18" s="196">
        <v>20016</v>
      </c>
      <c r="BY18" s="281">
        <v>78863</v>
      </c>
      <c r="BZ18" s="283"/>
      <c r="CA18" s="280">
        <v>21499</v>
      </c>
      <c r="CB18" s="196">
        <v>21810</v>
      </c>
      <c r="CC18" s="196">
        <v>43309</v>
      </c>
      <c r="CD18" s="196">
        <v>20520</v>
      </c>
      <c r="CE18" s="196">
        <v>63829</v>
      </c>
      <c r="CF18" s="196">
        <v>20646</v>
      </c>
      <c r="CG18" s="281">
        <v>84475</v>
      </c>
      <c r="CH18" s="196"/>
      <c r="CI18" s="280">
        <v>24180</v>
      </c>
      <c r="CJ18" s="196">
        <v>23116</v>
      </c>
      <c r="CK18" s="196">
        <v>47296</v>
      </c>
      <c r="CL18" s="196">
        <v>24648</v>
      </c>
      <c r="CM18" s="196">
        <v>71944</v>
      </c>
      <c r="CN18" s="196">
        <v>21615</v>
      </c>
      <c r="CO18" s="281">
        <v>93559</v>
      </c>
      <c r="CP18" s="159"/>
      <c r="CQ18" s="280">
        <v>23433</v>
      </c>
      <c r="CR18" s="196">
        <v>24960</v>
      </c>
      <c r="CS18" s="196">
        <v>48393</v>
      </c>
      <c r="CT18" s="196">
        <v>24284</v>
      </c>
      <c r="CU18" s="196">
        <v>72677</v>
      </c>
      <c r="CV18" s="196">
        <v>22963</v>
      </c>
      <c r="CW18" s="281">
        <v>95640</v>
      </c>
      <c r="CX18" s="159"/>
      <c r="CY18" s="280">
        <v>23467</v>
      </c>
      <c r="CZ18" s="196">
        <v>24241</v>
      </c>
      <c r="DA18" s="196">
        <v>47708</v>
      </c>
      <c r="DB18" s="196">
        <v>24660</v>
      </c>
      <c r="DC18" s="196">
        <v>72368</v>
      </c>
      <c r="DD18" s="196">
        <v>24416</v>
      </c>
      <c r="DE18" s="281">
        <v>96784</v>
      </c>
      <c r="DF18" s="159"/>
      <c r="DG18" s="280">
        <v>10165</v>
      </c>
      <c r="DH18" s="196">
        <v>26594</v>
      </c>
      <c r="DI18" s="196">
        <v>36759</v>
      </c>
      <c r="DJ18" s="196">
        <v>25060</v>
      </c>
      <c r="DK18" s="196">
        <v>61819</v>
      </c>
      <c r="DL18" s="196">
        <v>22306</v>
      </c>
      <c r="DM18" s="281">
        <v>84125</v>
      </c>
    </row>
    <row r="19" spans="1:117" s="100" customFormat="1" x14ac:dyDescent="0.25">
      <c r="A19" s="95" t="s">
        <v>12</v>
      </c>
      <c r="B19" s="88" t="s">
        <v>12</v>
      </c>
      <c r="C19" s="9"/>
      <c r="D19" s="9"/>
      <c r="E19" s="602">
        <f t="shared" ref="E19" si="5">E17-E18</f>
        <v>10573.402999999998</v>
      </c>
      <c r="F19" s="9"/>
      <c r="G19" s="108">
        <f t="shared" ref="G19:M19" si="6">G17-G18</f>
        <v>7021.0999999999985</v>
      </c>
      <c r="H19" s="442">
        <f t="shared" si="6"/>
        <v>9182.0639999999985</v>
      </c>
      <c r="I19" s="442">
        <f t="shared" si="6"/>
        <v>16203.164000000004</v>
      </c>
      <c r="J19" s="442">
        <f t="shared" si="6"/>
        <v>9453.0319999999992</v>
      </c>
      <c r="K19" s="442">
        <f t="shared" si="6"/>
        <v>25656.195999999996</v>
      </c>
      <c r="L19" s="442">
        <f t="shared" si="6"/>
        <v>9994.6229999999996</v>
      </c>
      <c r="M19" s="104">
        <f t="shared" si="6"/>
        <v>35650.818999999989</v>
      </c>
      <c r="N19" s="9"/>
      <c r="O19" s="108">
        <f t="shared" ref="O19:U19" si="7">O17-O18</f>
        <v>11805</v>
      </c>
      <c r="P19" s="442">
        <f t="shared" si="7"/>
        <v>12446</v>
      </c>
      <c r="Q19" s="442">
        <f t="shared" si="7"/>
        <v>24251</v>
      </c>
      <c r="R19" s="442">
        <f t="shared" si="7"/>
        <v>13703</v>
      </c>
      <c r="S19" s="442">
        <f t="shared" si="7"/>
        <v>37954</v>
      </c>
      <c r="T19" s="442">
        <f t="shared" si="7"/>
        <v>8150</v>
      </c>
      <c r="U19" s="442">
        <f t="shared" si="7"/>
        <v>46104</v>
      </c>
      <c r="V19" s="600"/>
      <c r="W19" s="567">
        <v>12041</v>
      </c>
      <c r="X19" s="442">
        <f t="shared" si="0"/>
        <v>12453</v>
      </c>
      <c r="Y19" s="442">
        <v>24494</v>
      </c>
      <c r="Z19" s="442">
        <f t="shared" si="0"/>
        <v>11897</v>
      </c>
      <c r="AA19" s="423">
        <v>36391</v>
      </c>
      <c r="AB19" s="442">
        <f t="shared" si="0"/>
        <v>13421.404000000002</v>
      </c>
      <c r="AC19" s="21">
        <v>49812.404000000002</v>
      </c>
      <c r="AD19" s="483"/>
      <c r="AE19" s="108">
        <f>AE17-AE18</f>
        <v>9981</v>
      </c>
      <c r="AF19" s="442">
        <f t="shared" si="1"/>
        <v>12275</v>
      </c>
      <c r="AG19" s="442">
        <f>AG17-AG18</f>
        <v>22256</v>
      </c>
      <c r="AH19" s="442">
        <f t="shared" si="2"/>
        <v>12743</v>
      </c>
      <c r="AI19" s="442">
        <f>AI17-AI18</f>
        <v>34999</v>
      </c>
      <c r="AJ19" s="406">
        <f t="shared" si="3"/>
        <v>9385</v>
      </c>
      <c r="AK19" s="21">
        <v>44384</v>
      </c>
      <c r="AL19" s="9"/>
      <c r="AM19" s="108">
        <v>9373</v>
      </c>
      <c r="AN19" s="442">
        <v>8562</v>
      </c>
      <c r="AO19" s="442">
        <v>17935</v>
      </c>
      <c r="AP19" s="442">
        <v>10956</v>
      </c>
      <c r="AQ19" s="442">
        <v>28891</v>
      </c>
      <c r="AR19" s="442">
        <f t="shared" si="4"/>
        <v>10572</v>
      </c>
      <c r="AS19" s="104">
        <f>AS17-AS18</f>
        <v>39463</v>
      </c>
      <c r="AT19" s="9"/>
      <c r="AU19" s="446">
        <v>7914</v>
      </c>
      <c r="AV19" s="442">
        <v>6149</v>
      </c>
      <c r="AW19" s="442">
        <v>14063</v>
      </c>
      <c r="AX19" s="442">
        <v>4988</v>
      </c>
      <c r="AY19" s="442">
        <v>19051</v>
      </c>
      <c r="AZ19" s="442">
        <v>4478</v>
      </c>
      <c r="BA19" s="104">
        <v>23529</v>
      </c>
      <c r="BB19" s="9"/>
      <c r="BC19" s="108">
        <v>7239</v>
      </c>
      <c r="BD19" s="103">
        <v>7852</v>
      </c>
      <c r="BE19" s="103">
        <v>15091</v>
      </c>
      <c r="BF19" s="103">
        <v>8334</v>
      </c>
      <c r="BG19" s="103">
        <v>23425</v>
      </c>
      <c r="BH19" s="103">
        <v>7755</v>
      </c>
      <c r="BI19" s="104">
        <v>31180</v>
      </c>
      <c r="BJ19" s="9"/>
      <c r="BK19" s="108">
        <v>7710</v>
      </c>
      <c r="BL19" s="103">
        <v>8785</v>
      </c>
      <c r="BM19" s="103">
        <v>16495</v>
      </c>
      <c r="BN19" s="103">
        <v>7588</v>
      </c>
      <c r="BO19" s="103">
        <v>24083</v>
      </c>
      <c r="BP19" s="103">
        <v>6298</v>
      </c>
      <c r="BQ19" s="104">
        <v>30381</v>
      </c>
      <c r="BR19" s="9"/>
      <c r="BS19" s="108">
        <v>6270</v>
      </c>
      <c r="BT19" s="103">
        <v>6951</v>
      </c>
      <c r="BU19" s="103">
        <v>13221</v>
      </c>
      <c r="BV19" s="103">
        <v>7353</v>
      </c>
      <c r="BW19" s="103">
        <v>20574</v>
      </c>
      <c r="BX19" s="103">
        <v>6143</v>
      </c>
      <c r="BY19" s="104">
        <v>26717</v>
      </c>
      <c r="BZ19" s="9"/>
      <c r="CA19" s="108">
        <v>5884</v>
      </c>
      <c r="CB19" s="103">
        <v>6686</v>
      </c>
      <c r="CC19" s="103">
        <v>12570</v>
      </c>
      <c r="CD19" s="103">
        <v>6392</v>
      </c>
      <c r="CE19" s="103">
        <v>18962</v>
      </c>
      <c r="CF19" s="103">
        <v>4742</v>
      </c>
      <c r="CG19" s="104">
        <v>23704</v>
      </c>
      <c r="CH19" s="103"/>
      <c r="CI19" s="108">
        <v>7008</v>
      </c>
      <c r="CJ19" s="103">
        <v>6244</v>
      </c>
      <c r="CK19" s="103">
        <v>13252</v>
      </c>
      <c r="CL19" s="103">
        <v>7942</v>
      </c>
      <c r="CM19" s="103">
        <v>21194</v>
      </c>
      <c r="CN19" s="103">
        <v>5241</v>
      </c>
      <c r="CO19" s="104">
        <v>26435</v>
      </c>
      <c r="CP19" s="109"/>
      <c r="CQ19" s="108">
        <v>7246</v>
      </c>
      <c r="CR19" s="103">
        <v>7807</v>
      </c>
      <c r="CS19" s="103">
        <v>15053</v>
      </c>
      <c r="CT19" s="103">
        <v>7172</v>
      </c>
      <c r="CU19" s="103">
        <v>22225</v>
      </c>
      <c r="CV19" s="103">
        <v>5340</v>
      </c>
      <c r="CW19" s="104">
        <v>27565</v>
      </c>
      <c r="CX19" s="109"/>
      <c r="CY19" s="108">
        <v>6906</v>
      </c>
      <c r="CZ19" s="103">
        <v>8410</v>
      </c>
      <c r="DA19" s="103">
        <v>15316</v>
      </c>
      <c r="DB19" s="103">
        <v>7721</v>
      </c>
      <c r="DC19" s="103">
        <v>23037</v>
      </c>
      <c r="DD19" s="103">
        <v>6785</v>
      </c>
      <c r="DE19" s="104">
        <v>29822</v>
      </c>
      <c r="DF19" s="109"/>
      <c r="DG19" s="108">
        <v>1132</v>
      </c>
      <c r="DH19" s="103">
        <v>5945</v>
      </c>
      <c r="DI19" s="103">
        <v>7077</v>
      </c>
      <c r="DJ19" s="103">
        <v>6891</v>
      </c>
      <c r="DK19" s="103">
        <v>13968</v>
      </c>
      <c r="DL19" s="103">
        <v>6091</v>
      </c>
      <c r="DM19" s="104">
        <v>20059</v>
      </c>
    </row>
    <row r="20" spans="1:117" outlineLevel="1" x14ac:dyDescent="0.25">
      <c r="A20" s="95" t="s">
        <v>211</v>
      </c>
      <c r="B20" s="42" t="s">
        <v>13</v>
      </c>
      <c r="C20" s="9"/>
      <c r="D20" s="9"/>
      <c r="E20" s="740">
        <v>7509.1680000000006</v>
      </c>
      <c r="F20" s="9"/>
      <c r="G20" s="569">
        <v>7183.3110000000006</v>
      </c>
      <c r="H20" s="441">
        <v>8253.143</v>
      </c>
      <c r="I20" s="441">
        <v>15436.454</v>
      </c>
      <c r="J20" s="441">
        <v>7473.5680000000002</v>
      </c>
      <c r="K20" s="441">
        <v>22910.022000000001</v>
      </c>
      <c r="L20" s="441">
        <v>6225.9319999999998</v>
      </c>
      <c r="M20" s="106">
        <v>29135.953999999998</v>
      </c>
      <c r="N20" s="9"/>
      <c r="O20" s="569">
        <v>6883</v>
      </c>
      <c r="P20" s="441">
        <v>6388</v>
      </c>
      <c r="Q20" s="441">
        <v>13271</v>
      </c>
      <c r="R20" s="441">
        <v>7528</v>
      </c>
      <c r="S20" s="441">
        <v>20799</v>
      </c>
      <c r="T20" s="441">
        <f>14757-3</f>
        <v>14754</v>
      </c>
      <c r="U20" s="441">
        <v>35553</v>
      </c>
      <c r="V20" s="600"/>
      <c r="W20" s="569">
        <v>6252</v>
      </c>
      <c r="X20" s="441">
        <f t="shared" si="0"/>
        <v>6089</v>
      </c>
      <c r="Y20" s="441">
        <v>12341</v>
      </c>
      <c r="Z20" s="441">
        <f t="shared" si="0"/>
        <v>6409</v>
      </c>
      <c r="AA20" s="424">
        <v>18750</v>
      </c>
      <c r="AB20" s="441">
        <f t="shared" si="0"/>
        <v>6474.0060000000012</v>
      </c>
      <c r="AC20" s="29">
        <v>25224.006000000001</v>
      </c>
      <c r="AD20" s="483"/>
      <c r="AE20" s="107">
        <v>5622</v>
      </c>
      <c r="AF20" s="441">
        <f t="shared" si="1"/>
        <v>6199</v>
      </c>
      <c r="AG20" s="441">
        <v>11821</v>
      </c>
      <c r="AH20" s="441">
        <f t="shared" si="2"/>
        <v>6531</v>
      </c>
      <c r="AI20" s="441">
        <v>18352</v>
      </c>
      <c r="AJ20" s="408">
        <f t="shared" si="3"/>
        <v>6008</v>
      </c>
      <c r="AK20" s="29">
        <v>24360</v>
      </c>
      <c r="AL20" s="9"/>
      <c r="AM20" s="107">
        <v>5442</v>
      </c>
      <c r="AN20" s="441">
        <v>5130</v>
      </c>
      <c r="AO20" s="441">
        <v>10572</v>
      </c>
      <c r="AP20" s="441">
        <v>5409</v>
      </c>
      <c r="AQ20" s="441">
        <v>15981</v>
      </c>
      <c r="AR20" s="441">
        <f t="shared" si="4"/>
        <v>6770</v>
      </c>
      <c r="AS20" s="106">
        <v>22751</v>
      </c>
      <c r="AT20" s="9"/>
      <c r="AU20" s="446">
        <v>5326</v>
      </c>
      <c r="AV20" s="441">
        <v>3771</v>
      </c>
      <c r="AW20" s="441">
        <v>9097</v>
      </c>
      <c r="AX20" s="441">
        <v>4547</v>
      </c>
      <c r="AY20" s="441">
        <v>13644</v>
      </c>
      <c r="AZ20" s="441">
        <v>4048</v>
      </c>
      <c r="BA20" s="106">
        <v>17692</v>
      </c>
      <c r="BB20" s="9"/>
      <c r="BC20" s="107">
        <v>4797</v>
      </c>
      <c r="BD20" s="105">
        <v>4690</v>
      </c>
      <c r="BE20" s="105">
        <v>9487</v>
      </c>
      <c r="BF20" s="105">
        <v>4718</v>
      </c>
      <c r="BG20" s="105">
        <v>14205</v>
      </c>
      <c r="BH20" s="105">
        <v>4844</v>
      </c>
      <c r="BI20" s="106">
        <v>19049</v>
      </c>
      <c r="BJ20" s="9"/>
      <c r="BK20" s="107">
        <v>4999</v>
      </c>
      <c r="BL20" s="105">
        <v>4857</v>
      </c>
      <c r="BM20" s="105">
        <v>9856</v>
      </c>
      <c r="BN20" s="105">
        <v>4321</v>
      </c>
      <c r="BO20" s="105">
        <v>14177</v>
      </c>
      <c r="BP20" s="105">
        <v>4859</v>
      </c>
      <c r="BQ20" s="106">
        <v>19036</v>
      </c>
      <c r="BR20" s="9"/>
      <c r="BS20" s="107">
        <v>4797</v>
      </c>
      <c r="BT20" s="105">
        <v>4114</v>
      </c>
      <c r="BU20" s="105">
        <v>8911</v>
      </c>
      <c r="BV20" s="105">
        <v>4374</v>
      </c>
      <c r="BW20" s="105">
        <v>13285</v>
      </c>
      <c r="BX20" s="105">
        <v>6298</v>
      </c>
      <c r="BY20" s="106">
        <v>19583</v>
      </c>
      <c r="BZ20" s="9"/>
      <c r="CA20" s="107">
        <v>4252</v>
      </c>
      <c r="CB20" s="105">
        <v>3329</v>
      </c>
      <c r="CC20" s="105">
        <v>7581</v>
      </c>
      <c r="CD20" s="105">
        <v>4536</v>
      </c>
      <c r="CE20" s="105">
        <v>12117</v>
      </c>
      <c r="CF20" s="105">
        <v>4485</v>
      </c>
      <c r="CG20" s="106">
        <v>16602</v>
      </c>
      <c r="CH20" s="105"/>
      <c r="CI20" s="107">
        <v>4248</v>
      </c>
      <c r="CJ20" s="105">
        <v>3518</v>
      </c>
      <c r="CK20" s="105">
        <v>7766</v>
      </c>
      <c r="CL20" s="105">
        <v>3879</v>
      </c>
      <c r="CM20" s="105">
        <v>11645</v>
      </c>
      <c r="CN20" s="105">
        <v>3183</v>
      </c>
      <c r="CO20" s="106">
        <v>14828</v>
      </c>
      <c r="CP20" s="109"/>
      <c r="CQ20" s="107">
        <v>4823</v>
      </c>
      <c r="CR20" s="105">
        <v>4171</v>
      </c>
      <c r="CS20" s="105">
        <v>8994</v>
      </c>
      <c r="CT20" s="105">
        <v>4017</v>
      </c>
      <c r="CU20" s="105">
        <v>13011</v>
      </c>
      <c r="CV20" s="105">
        <v>3445</v>
      </c>
      <c r="CW20" s="106">
        <v>16456</v>
      </c>
      <c r="CX20" s="109"/>
      <c r="CY20" s="107">
        <v>4297</v>
      </c>
      <c r="CZ20" s="105">
        <v>4161</v>
      </c>
      <c r="DA20" s="105">
        <v>8458</v>
      </c>
      <c r="DB20" s="105">
        <v>4017</v>
      </c>
      <c r="DC20" s="105">
        <v>12475</v>
      </c>
      <c r="DD20" s="105">
        <v>4345</v>
      </c>
      <c r="DE20" s="106">
        <v>16820</v>
      </c>
      <c r="DF20" s="109"/>
      <c r="DG20" s="107">
        <v>5539</v>
      </c>
      <c r="DH20" s="105">
        <v>4073</v>
      </c>
      <c r="DI20" s="105">
        <v>9612</v>
      </c>
      <c r="DJ20" s="105">
        <v>3860</v>
      </c>
      <c r="DK20" s="105">
        <v>13472</v>
      </c>
      <c r="DL20" s="105">
        <v>3815</v>
      </c>
      <c r="DM20" s="106">
        <v>17287</v>
      </c>
    </row>
    <row r="21" spans="1:117" outlineLevel="1" x14ac:dyDescent="0.25">
      <c r="A21" s="95" t="s">
        <v>212</v>
      </c>
      <c r="B21" s="42" t="s">
        <v>14</v>
      </c>
      <c r="C21" s="9"/>
      <c r="D21" s="9"/>
      <c r="E21" s="740">
        <v>125</v>
      </c>
      <c r="F21" s="9"/>
      <c r="G21" s="569">
        <v>125</v>
      </c>
      <c r="H21" s="441">
        <v>125.001</v>
      </c>
      <c r="I21" s="441">
        <v>250.001</v>
      </c>
      <c r="J21" s="441">
        <v>124.999</v>
      </c>
      <c r="K21" s="441">
        <v>375</v>
      </c>
      <c r="L21" s="441">
        <v>125</v>
      </c>
      <c r="M21" s="106">
        <v>500</v>
      </c>
      <c r="N21" s="9"/>
      <c r="O21" s="569">
        <v>125</v>
      </c>
      <c r="P21" s="441">
        <v>125</v>
      </c>
      <c r="Q21" s="441">
        <v>250</v>
      </c>
      <c r="R21" s="441">
        <v>125</v>
      </c>
      <c r="S21" s="441">
        <v>375</v>
      </c>
      <c r="T21" s="441">
        <v>125</v>
      </c>
      <c r="U21" s="441">
        <v>500</v>
      </c>
      <c r="V21" s="600"/>
      <c r="W21" s="569">
        <v>125</v>
      </c>
      <c r="X21" s="441">
        <f t="shared" si="0"/>
        <v>125</v>
      </c>
      <c r="Y21" s="441">
        <v>250</v>
      </c>
      <c r="Z21" s="441">
        <f t="shared" si="0"/>
        <v>125</v>
      </c>
      <c r="AA21" s="424">
        <v>375</v>
      </c>
      <c r="AB21" s="441">
        <f t="shared" si="0"/>
        <v>125</v>
      </c>
      <c r="AC21" s="29">
        <v>500</v>
      </c>
      <c r="AD21" s="483"/>
      <c r="AE21" s="107">
        <v>125</v>
      </c>
      <c r="AF21" s="441">
        <f t="shared" si="1"/>
        <v>125</v>
      </c>
      <c r="AG21" s="441">
        <v>250</v>
      </c>
      <c r="AH21" s="441">
        <f t="shared" si="2"/>
        <v>125</v>
      </c>
      <c r="AI21" s="441">
        <v>375</v>
      </c>
      <c r="AJ21" s="408">
        <f t="shared" si="3"/>
        <v>125</v>
      </c>
      <c r="AK21" s="29">
        <v>500</v>
      </c>
      <c r="AL21" s="9"/>
      <c r="AM21" s="107">
        <v>125</v>
      </c>
      <c r="AN21" s="441">
        <v>125</v>
      </c>
      <c r="AO21" s="441">
        <v>250</v>
      </c>
      <c r="AP21" s="441">
        <v>125</v>
      </c>
      <c r="AQ21" s="441">
        <v>375</v>
      </c>
      <c r="AR21" s="441">
        <f t="shared" si="4"/>
        <v>125</v>
      </c>
      <c r="AS21" s="106">
        <v>500</v>
      </c>
      <c r="AT21" s="9"/>
      <c r="AU21" s="446">
        <v>125</v>
      </c>
      <c r="AV21" s="441">
        <v>125</v>
      </c>
      <c r="AW21" s="441">
        <v>250</v>
      </c>
      <c r="AX21" s="441">
        <v>125</v>
      </c>
      <c r="AY21" s="441">
        <v>375</v>
      </c>
      <c r="AZ21" s="441">
        <v>125</v>
      </c>
      <c r="BA21" s="106">
        <v>500</v>
      </c>
      <c r="BB21" s="9"/>
      <c r="BC21" s="107">
        <v>125</v>
      </c>
      <c r="BD21" s="105">
        <v>125</v>
      </c>
      <c r="BE21" s="105">
        <v>250</v>
      </c>
      <c r="BF21" s="105">
        <v>125</v>
      </c>
      <c r="BG21" s="105">
        <v>375</v>
      </c>
      <c r="BH21" s="105">
        <v>125</v>
      </c>
      <c r="BI21" s="106">
        <v>500</v>
      </c>
      <c r="BJ21" s="9"/>
      <c r="BK21" s="107">
        <v>125</v>
      </c>
      <c r="BL21" s="105">
        <v>125</v>
      </c>
      <c r="BM21" s="105">
        <v>250</v>
      </c>
      <c r="BN21" s="105">
        <v>125</v>
      </c>
      <c r="BO21" s="105">
        <v>375</v>
      </c>
      <c r="BP21" s="105">
        <v>125</v>
      </c>
      <c r="BQ21" s="106">
        <v>500</v>
      </c>
      <c r="BR21" s="9"/>
      <c r="BS21" s="107">
        <v>125</v>
      </c>
      <c r="BT21" s="105">
        <v>125</v>
      </c>
      <c r="BU21" s="105">
        <v>250</v>
      </c>
      <c r="BV21" s="105">
        <v>125</v>
      </c>
      <c r="BW21" s="105">
        <v>375</v>
      </c>
      <c r="BX21" s="105">
        <v>125</v>
      </c>
      <c r="BY21" s="106">
        <v>500</v>
      </c>
      <c r="BZ21" s="9"/>
      <c r="CA21" s="107">
        <v>125</v>
      </c>
      <c r="CB21" s="105">
        <v>125</v>
      </c>
      <c r="CC21" s="105">
        <v>250</v>
      </c>
      <c r="CD21" s="105">
        <v>125</v>
      </c>
      <c r="CE21" s="105">
        <v>375</v>
      </c>
      <c r="CF21" s="105">
        <v>125</v>
      </c>
      <c r="CG21" s="106">
        <v>500</v>
      </c>
      <c r="CH21" s="105"/>
      <c r="CI21" s="107">
        <v>125</v>
      </c>
      <c r="CJ21" s="105">
        <v>125</v>
      </c>
      <c r="CK21" s="105">
        <v>250</v>
      </c>
      <c r="CL21" s="105">
        <v>125</v>
      </c>
      <c r="CM21" s="105">
        <v>375</v>
      </c>
      <c r="CN21" s="105">
        <v>125</v>
      </c>
      <c r="CO21" s="106">
        <v>500</v>
      </c>
      <c r="CP21" s="109"/>
      <c r="CQ21" s="107">
        <v>125</v>
      </c>
      <c r="CR21" s="105">
        <v>125</v>
      </c>
      <c r="CS21" s="105">
        <v>250</v>
      </c>
      <c r="CT21" s="105">
        <v>125</v>
      </c>
      <c r="CU21" s="105">
        <v>375</v>
      </c>
      <c r="CV21" s="105">
        <v>125</v>
      </c>
      <c r="CW21" s="106">
        <v>500</v>
      </c>
      <c r="CX21" s="109"/>
      <c r="CY21" s="107">
        <v>125</v>
      </c>
      <c r="CZ21" s="105">
        <v>125</v>
      </c>
      <c r="DA21" s="105">
        <v>250</v>
      </c>
      <c r="DB21" s="105">
        <v>125</v>
      </c>
      <c r="DC21" s="105">
        <v>375</v>
      </c>
      <c r="DD21" s="105">
        <v>125</v>
      </c>
      <c r="DE21" s="106">
        <v>500</v>
      </c>
      <c r="DF21" s="109"/>
      <c r="DG21" s="107">
        <v>0</v>
      </c>
      <c r="DH21" s="105">
        <v>125</v>
      </c>
      <c r="DI21" s="105">
        <v>125</v>
      </c>
      <c r="DJ21" s="105">
        <v>125</v>
      </c>
      <c r="DK21" s="105">
        <v>250</v>
      </c>
      <c r="DL21" s="105">
        <v>125</v>
      </c>
      <c r="DM21" s="106">
        <v>375</v>
      </c>
    </row>
    <row r="22" spans="1:117" outlineLevel="1" x14ac:dyDescent="0.25">
      <c r="A22" s="95" t="s">
        <v>213</v>
      </c>
      <c r="B22" s="42" t="s">
        <v>15</v>
      </c>
      <c r="C22" s="9"/>
      <c r="D22" s="9"/>
      <c r="E22" s="740">
        <v>607.702</v>
      </c>
      <c r="F22" s="9"/>
      <c r="G22" s="569">
        <v>624.79899999999998</v>
      </c>
      <c r="H22" s="441">
        <v>624.798</v>
      </c>
      <c r="I22" s="441">
        <v>1249.597</v>
      </c>
      <c r="J22" s="441">
        <v>624.798</v>
      </c>
      <c r="K22" s="441">
        <v>1874.395</v>
      </c>
      <c r="L22" s="441">
        <v>624.798</v>
      </c>
      <c r="M22" s="106">
        <v>2499.1930000000002</v>
      </c>
      <c r="N22" s="9"/>
      <c r="O22" s="569">
        <v>625</v>
      </c>
      <c r="P22" s="441">
        <v>625</v>
      </c>
      <c r="Q22" s="441">
        <v>1250</v>
      </c>
      <c r="R22" s="441">
        <v>625</v>
      </c>
      <c r="S22" s="441">
        <v>1875</v>
      </c>
      <c r="T22" s="441">
        <v>625</v>
      </c>
      <c r="U22" s="441">
        <v>2500</v>
      </c>
      <c r="V22" s="600"/>
      <c r="W22" s="569">
        <v>626</v>
      </c>
      <c r="X22" s="441">
        <f t="shared" si="0"/>
        <v>626</v>
      </c>
      <c r="Y22" s="441">
        <v>1252</v>
      </c>
      <c r="Z22" s="441">
        <f t="shared" si="0"/>
        <v>624</v>
      </c>
      <c r="AA22" s="424">
        <v>1876</v>
      </c>
      <c r="AB22" s="441">
        <f t="shared" si="0"/>
        <v>624.75500000000011</v>
      </c>
      <c r="AC22" s="23">
        <v>2500.7550000000001</v>
      </c>
      <c r="AD22" s="483"/>
      <c r="AE22" s="107">
        <v>946</v>
      </c>
      <c r="AF22" s="441">
        <f t="shared" si="1"/>
        <v>626</v>
      </c>
      <c r="AG22" s="441">
        <v>1572</v>
      </c>
      <c r="AH22" s="441">
        <f t="shared" si="2"/>
        <v>626</v>
      </c>
      <c r="AI22" s="441">
        <v>2198</v>
      </c>
      <c r="AJ22" s="405">
        <f t="shared" si="3"/>
        <v>626</v>
      </c>
      <c r="AK22" s="23">
        <v>2824</v>
      </c>
      <c r="AL22" s="9"/>
      <c r="AM22" s="107">
        <v>810</v>
      </c>
      <c r="AN22" s="441">
        <v>810</v>
      </c>
      <c r="AO22" s="441">
        <v>1620</v>
      </c>
      <c r="AP22" s="441">
        <v>811</v>
      </c>
      <c r="AQ22" s="441">
        <v>2431</v>
      </c>
      <c r="AR22" s="441">
        <f t="shared" si="4"/>
        <v>1793</v>
      </c>
      <c r="AS22" s="106">
        <v>4224</v>
      </c>
      <c r="AT22" s="9"/>
      <c r="AU22" s="446">
        <v>810</v>
      </c>
      <c r="AV22" s="441">
        <v>810</v>
      </c>
      <c r="AW22" s="441">
        <v>1620</v>
      </c>
      <c r="AX22" s="441">
        <v>811</v>
      </c>
      <c r="AY22" s="441">
        <v>2431</v>
      </c>
      <c r="AZ22" s="441">
        <v>810</v>
      </c>
      <c r="BA22" s="106">
        <v>3241</v>
      </c>
      <c r="BB22" s="9"/>
      <c r="BC22" s="107">
        <v>840</v>
      </c>
      <c r="BD22" s="105">
        <v>810</v>
      </c>
      <c r="BE22" s="105">
        <v>1650</v>
      </c>
      <c r="BF22" s="105">
        <v>810</v>
      </c>
      <c r="BG22" s="105">
        <v>2460</v>
      </c>
      <c r="BH22" s="105">
        <v>810</v>
      </c>
      <c r="BI22" s="106">
        <v>3270</v>
      </c>
      <c r="BJ22" s="9"/>
      <c r="BK22" s="107">
        <v>861</v>
      </c>
      <c r="BL22" s="105">
        <v>858</v>
      </c>
      <c r="BM22" s="105">
        <v>1719</v>
      </c>
      <c r="BN22" s="105">
        <v>855</v>
      </c>
      <c r="BO22" s="105">
        <v>2574</v>
      </c>
      <c r="BP22" s="105">
        <v>855</v>
      </c>
      <c r="BQ22" s="106">
        <v>3429</v>
      </c>
      <c r="BR22" s="9"/>
      <c r="BS22" s="107">
        <v>881</v>
      </c>
      <c r="BT22" s="105">
        <v>866</v>
      </c>
      <c r="BU22" s="105">
        <v>1747</v>
      </c>
      <c r="BV22" s="105">
        <v>854</v>
      </c>
      <c r="BW22" s="105">
        <v>2601</v>
      </c>
      <c r="BX22" s="105">
        <v>862</v>
      </c>
      <c r="BY22" s="106">
        <v>3463</v>
      </c>
      <c r="BZ22" s="9"/>
      <c r="CA22" s="107">
        <v>881</v>
      </c>
      <c r="CB22" s="105">
        <v>881</v>
      </c>
      <c r="CC22" s="105">
        <v>1762</v>
      </c>
      <c r="CD22" s="105">
        <v>880</v>
      </c>
      <c r="CE22" s="105">
        <v>2642</v>
      </c>
      <c r="CF22" s="105">
        <v>881</v>
      </c>
      <c r="CG22" s="106">
        <v>3523</v>
      </c>
      <c r="CH22" s="105"/>
      <c r="CI22" s="107">
        <v>881</v>
      </c>
      <c r="CJ22" s="105">
        <v>881</v>
      </c>
      <c r="CK22" s="105">
        <v>1762</v>
      </c>
      <c r="CL22" s="105">
        <v>880</v>
      </c>
      <c r="CM22" s="105">
        <v>2642</v>
      </c>
      <c r="CN22" s="105">
        <v>881</v>
      </c>
      <c r="CO22" s="106">
        <v>3523</v>
      </c>
      <c r="CP22" s="109"/>
      <c r="CQ22" s="107">
        <v>875</v>
      </c>
      <c r="CR22" s="105">
        <v>874</v>
      </c>
      <c r="CS22" s="105">
        <v>1749</v>
      </c>
      <c r="CT22" s="105">
        <v>884</v>
      </c>
      <c r="CU22" s="105">
        <v>2633</v>
      </c>
      <c r="CV22" s="105">
        <v>881</v>
      </c>
      <c r="CW22" s="106">
        <v>3514</v>
      </c>
      <c r="CX22" s="109"/>
      <c r="CY22" s="107">
        <v>875</v>
      </c>
      <c r="CZ22" s="105">
        <v>964</v>
      </c>
      <c r="DA22" s="105">
        <v>1839</v>
      </c>
      <c r="DB22" s="105">
        <v>875</v>
      </c>
      <c r="DC22" s="105">
        <v>2714</v>
      </c>
      <c r="DD22" s="105">
        <v>874</v>
      </c>
      <c r="DE22" s="106">
        <v>3588</v>
      </c>
      <c r="DF22" s="109"/>
      <c r="DG22" s="107">
        <v>274</v>
      </c>
      <c r="DH22" s="105">
        <v>892</v>
      </c>
      <c r="DI22" s="105">
        <v>1166</v>
      </c>
      <c r="DJ22" s="105">
        <v>875</v>
      </c>
      <c r="DK22" s="105">
        <v>2041</v>
      </c>
      <c r="DL22" s="105">
        <v>874</v>
      </c>
      <c r="DM22" s="106">
        <v>2915</v>
      </c>
    </row>
    <row r="23" spans="1:117" s="158" customFormat="1" ht="15" customHeight="1" outlineLevel="1" x14ac:dyDescent="0.4">
      <c r="A23" s="4" t="s">
        <v>234</v>
      </c>
      <c r="B23" s="42" t="s">
        <v>16</v>
      </c>
      <c r="C23" s="9"/>
      <c r="D23" s="9"/>
      <c r="E23" s="741">
        <v>0</v>
      </c>
      <c r="F23" s="9"/>
      <c r="G23" s="571">
        <v>0</v>
      </c>
      <c r="H23" s="461">
        <v>0</v>
      </c>
      <c r="I23" s="461">
        <v>0</v>
      </c>
      <c r="J23" s="461">
        <v>0</v>
      </c>
      <c r="K23" s="461">
        <v>0</v>
      </c>
      <c r="L23" s="461">
        <v>0</v>
      </c>
      <c r="M23" s="113">
        <v>0</v>
      </c>
      <c r="N23" s="9"/>
      <c r="O23" s="571">
        <v>0</v>
      </c>
      <c r="P23" s="461">
        <v>0</v>
      </c>
      <c r="Q23" s="461">
        <v>0</v>
      </c>
      <c r="R23" s="461">
        <v>0</v>
      </c>
      <c r="S23" s="461">
        <v>0</v>
      </c>
      <c r="T23" s="461">
        <v>0</v>
      </c>
      <c r="U23" s="113">
        <v>0</v>
      </c>
      <c r="V23" s="600"/>
      <c r="W23" s="571">
        <v>0</v>
      </c>
      <c r="X23" s="461">
        <f t="shared" si="0"/>
        <v>0</v>
      </c>
      <c r="Y23" s="461">
        <v>0</v>
      </c>
      <c r="Z23" s="461">
        <f t="shared" si="0"/>
        <v>0</v>
      </c>
      <c r="AA23" s="461">
        <v>0</v>
      </c>
      <c r="AB23" s="461">
        <f t="shared" si="0"/>
        <v>0</v>
      </c>
      <c r="AC23" s="113">
        <v>0</v>
      </c>
      <c r="AD23" s="483"/>
      <c r="AE23" s="571">
        <v>0</v>
      </c>
      <c r="AF23" s="461">
        <f t="shared" si="1"/>
        <v>0</v>
      </c>
      <c r="AG23" s="461">
        <v>0</v>
      </c>
      <c r="AH23" s="461">
        <f t="shared" si="2"/>
        <v>0</v>
      </c>
      <c r="AI23" s="461">
        <v>0</v>
      </c>
      <c r="AJ23" s="461">
        <f t="shared" si="3"/>
        <v>0</v>
      </c>
      <c r="AK23" s="113">
        <v>0</v>
      </c>
      <c r="AL23" s="9"/>
      <c r="AM23" s="154">
        <v>0</v>
      </c>
      <c r="AN23" s="460">
        <v>0</v>
      </c>
      <c r="AO23" s="460">
        <v>0</v>
      </c>
      <c r="AP23" s="460">
        <v>0</v>
      </c>
      <c r="AQ23" s="460">
        <v>0</v>
      </c>
      <c r="AR23" s="460">
        <f t="shared" si="4"/>
        <v>0</v>
      </c>
      <c r="AS23" s="156">
        <v>0</v>
      </c>
      <c r="AT23" s="9"/>
      <c r="AU23" s="446">
        <v>0</v>
      </c>
      <c r="AV23" s="460">
        <v>0</v>
      </c>
      <c r="AW23" s="460">
        <v>0</v>
      </c>
      <c r="AX23" s="460">
        <v>0</v>
      </c>
      <c r="AY23" s="460">
        <v>0</v>
      </c>
      <c r="AZ23" s="460">
        <v>0</v>
      </c>
      <c r="BA23" s="156">
        <v>0</v>
      </c>
      <c r="BB23" s="9"/>
      <c r="BC23" s="154">
        <v>0</v>
      </c>
      <c r="BD23" s="155">
        <v>0</v>
      </c>
      <c r="BE23" s="155">
        <v>0</v>
      </c>
      <c r="BF23" s="155">
        <v>0</v>
      </c>
      <c r="BG23" s="155">
        <v>0</v>
      </c>
      <c r="BH23" s="155">
        <v>0</v>
      </c>
      <c r="BI23" s="156">
        <v>0</v>
      </c>
      <c r="BJ23" s="9"/>
      <c r="BK23" s="154">
        <v>0</v>
      </c>
      <c r="BL23" s="155">
        <v>0</v>
      </c>
      <c r="BM23" s="155">
        <v>0</v>
      </c>
      <c r="BN23" s="155">
        <v>0</v>
      </c>
      <c r="BO23" s="155">
        <v>0</v>
      </c>
      <c r="BP23" s="155">
        <v>0</v>
      </c>
      <c r="BQ23" s="156">
        <v>0</v>
      </c>
      <c r="BR23" s="9"/>
      <c r="BS23" s="154">
        <v>8864</v>
      </c>
      <c r="BT23" s="155">
        <v>0</v>
      </c>
      <c r="BU23" s="155">
        <v>8864</v>
      </c>
      <c r="BV23" s="155">
        <v>0</v>
      </c>
      <c r="BW23" s="155">
        <v>8864</v>
      </c>
      <c r="BX23" s="155">
        <v>0</v>
      </c>
      <c r="BY23" s="156">
        <v>8864</v>
      </c>
      <c r="BZ23" s="9"/>
      <c r="CA23" s="154">
        <v>0</v>
      </c>
      <c r="CB23" s="155">
        <v>0</v>
      </c>
      <c r="CC23" s="155">
        <v>0</v>
      </c>
      <c r="CD23" s="155">
        <v>0</v>
      </c>
      <c r="CE23" s="155">
        <v>0</v>
      </c>
      <c r="CF23" s="155">
        <v>16000</v>
      </c>
      <c r="CG23" s="156">
        <v>16000</v>
      </c>
      <c r="CH23" s="155"/>
      <c r="CI23" s="154">
        <v>0</v>
      </c>
      <c r="CJ23" s="155">
        <v>0</v>
      </c>
      <c r="CK23" s="155">
        <v>0</v>
      </c>
      <c r="CL23" s="155">
        <v>0</v>
      </c>
      <c r="CM23" s="155">
        <v>0</v>
      </c>
      <c r="CN23" s="155">
        <v>0</v>
      </c>
      <c r="CO23" s="156">
        <v>0</v>
      </c>
      <c r="CP23" s="159"/>
      <c r="CQ23" s="154">
        <v>0</v>
      </c>
      <c r="CR23" s="155">
        <v>0</v>
      </c>
      <c r="CS23" s="155">
        <v>0</v>
      </c>
      <c r="CT23" s="155">
        <v>0</v>
      </c>
      <c r="CU23" s="155">
        <v>0</v>
      </c>
      <c r="CV23" s="155">
        <v>0</v>
      </c>
      <c r="CW23" s="156">
        <v>0</v>
      </c>
      <c r="CX23" s="159"/>
      <c r="CY23" s="154">
        <v>0</v>
      </c>
      <c r="CZ23" s="155">
        <v>0</v>
      </c>
      <c r="DA23" s="155">
        <v>0</v>
      </c>
      <c r="DB23" s="155">
        <v>0</v>
      </c>
      <c r="DC23" s="155">
        <v>0</v>
      </c>
      <c r="DD23" s="155">
        <v>0</v>
      </c>
      <c r="DE23" s="156">
        <v>0</v>
      </c>
      <c r="DF23" s="159"/>
      <c r="DG23" s="154">
        <v>0</v>
      </c>
      <c r="DH23" s="155">
        <v>0</v>
      </c>
      <c r="DI23" s="155">
        <v>0</v>
      </c>
      <c r="DJ23" s="155">
        <v>0</v>
      </c>
      <c r="DK23" s="155">
        <v>0</v>
      </c>
      <c r="DL23" s="155">
        <v>0</v>
      </c>
      <c r="DM23" s="156">
        <v>0</v>
      </c>
    </row>
    <row r="24" spans="1:117" s="100" customFormat="1" x14ac:dyDescent="0.25">
      <c r="A24" s="95" t="s">
        <v>214</v>
      </c>
      <c r="B24" s="88" t="s">
        <v>17</v>
      </c>
      <c r="C24" s="9"/>
      <c r="D24" s="9"/>
      <c r="E24" s="602">
        <f t="shared" ref="E24" si="8">E19-SUM(E20:E23)</f>
        <v>2331.5329999999976</v>
      </c>
      <c r="F24" s="9"/>
      <c r="G24" s="108">
        <f t="shared" ref="G24:M24" si="9">G19-SUM(G20:G23)</f>
        <v>-912.01000000000204</v>
      </c>
      <c r="H24" s="442">
        <f t="shared" si="9"/>
        <v>179.12199999999757</v>
      </c>
      <c r="I24" s="442">
        <f t="shared" si="9"/>
        <v>-732.88799999999537</v>
      </c>
      <c r="J24" s="442">
        <f t="shared" si="9"/>
        <v>1229.6669999999995</v>
      </c>
      <c r="K24" s="442">
        <f t="shared" si="9"/>
        <v>496.77899999999499</v>
      </c>
      <c r="L24" s="442">
        <f t="shared" si="9"/>
        <v>3018.893</v>
      </c>
      <c r="M24" s="104">
        <f t="shared" si="9"/>
        <v>3515.6719999999914</v>
      </c>
      <c r="N24" s="9"/>
      <c r="O24" s="108">
        <f t="shared" ref="O24:U24" si="10">O19-SUM(O20:O23)</f>
        <v>4172</v>
      </c>
      <c r="P24" s="442">
        <f t="shared" si="10"/>
        <v>5308</v>
      </c>
      <c r="Q24" s="442">
        <f t="shared" si="10"/>
        <v>9480</v>
      </c>
      <c r="R24" s="442">
        <f t="shared" si="10"/>
        <v>5425</v>
      </c>
      <c r="S24" s="442">
        <f t="shared" si="10"/>
        <v>14905</v>
      </c>
      <c r="T24" s="442">
        <f t="shared" si="10"/>
        <v>-7354</v>
      </c>
      <c r="U24" s="442">
        <f t="shared" si="10"/>
        <v>7551</v>
      </c>
      <c r="V24" s="600"/>
      <c r="W24" s="567">
        <v>5038</v>
      </c>
      <c r="X24" s="442">
        <f t="shared" si="0"/>
        <v>5613</v>
      </c>
      <c r="Y24" s="442">
        <v>10651</v>
      </c>
      <c r="Z24" s="442">
        <f t="shared" si="0"/>
        <v>4739</v>
      </c>
      <c r="AA24" s="423">
        <v>15390</v>
      </c>
      <c r="AB24" s="442">
        <f t="shared" si="0"/>
        <v>6196.643</v>
      </c>
      <c r="AC24" s="21">
        <v>21586.643</v>
      </c>
      <c r="AD24" s="483"/>
      <c r="AE24" s="108">
        <v>3288</v>
      </c>
      <c r="AF24" s="442">
        <f t="shared" si="1"/>
        <v>5325</v>
      </c>
      <c r="AG24" s="442">
        <f>AG19-SUM(AG20:AG23)</f>
        <v>8613</v>
      </c>
      <c r="AH24" s="442">
        <f t="shared" si="2"/>
        <v>5461</v>
      </c>
      <c r="AI24" s="442">
        <f>AI19-SUM(AI20:AI23)</f>
        <v>14074</v>
      </c>
      <c r="AJ24" s="406">
        <f t="shared" si="3"/>
        <v>2626</v>
      </c>
      <c r="AK24" s="21">
        <v>16700</v>
      </c>
      <c r="AL24" s="9"/>
      <c r="AM24" s="108">
        <v>2996</v>
      </c>
      <c r="AN24" s="442">
        <v>2497</v>
      </c>
      <c r="AO24" s="442">
        <v>5493</v>
      </c>
      <c r="AP24" s="442">
        <v>4611</v>
      </c>
      <c r="AQ24" s="442">
        <v>10104</v>
      </c>
      <c r="AR24" s="442">
        <f t="shared" si="4"/>
        <v>1884</v>
      </c>
      <c r="AS24" s="104">
        <v>11988</v>
      </c>
      <c r="AT24" s="9"/>
      <c r="AU24" s="446">
        <v>1653</v>
      </c>
      <c r="AV24" s="442">
        <v>1443</v>
      </c>
      <c r="AW24" s="442">
        <v>3096</v>
      </c>
      <c r="AX24" s="442">
        <v>-495</v>
      </c>
      <c r="AY24" s="442">
        <v>2601</v>
      </c>
      <c r="AZ24" s="442">
        <v>-505</v>
      </c>
      <c r="BA24" s="104">
        <v>2096</v>
      </c>
      <c r="BB24" s="9"/>
      <c r="BC24" s="108">
        <v>1477</v>
      </c>
      <c r="BD24" s="103">
        <v>2227</v>
      </c>
      <c r="BE24" s="103">
        <v>3704</v>
      </c>
      <c r="BF24" s="103">
        <v>2681</v>
      </c>
      <c r="BG24" s="103">
        <v>6385</v>
      </c>
      <c r="BH24" s="103">
        <v>1976</v>
      </c>
      <c r="BI24" s="104">
        <v>8361</v>
      </c>
      <c r="BJ24" s="9"/>
      <c r="BK24" s="108">
        <v>1725</v>
      </c>
      <c r="BL24" s="103">
        <v>2945</v>
      </c>
      <c r="BM24" s="103">
        <v>4670</v>
      </c>
      <c r="BN24" s="103">
        <v>2287</v>
      </c>
      <c r="BO24" s="103">
        <v>6957</v>
      </c>
      <c r="BP24" s="103">
        <v>459</v>
      </c>
      <c r="BQ24" s="104">
        <v>7416</v>
      </c>
      <c r="BR24" s="9"/>
      <c r="BS24" s="108">
        <v>-8397</v>
      </c>
      <c r="BT24" s="103">
        <v>1846</v>
      </c>
      <c r="BU24" s="103">
        <v>-6551</v>
      </c>
      <c r="BV24" s="103">
        <v>2000</v>
      </c>
      <c r="BW24" s="103">
        <v>-4551</v>
      </c>
      <c r="BX24" s="103">
        <v>-1142</v>
      </c>
      <c r="BY24" s="104">
        <v>-5693</v>
      </c>
      <c r="BZ24" s="9"/>
      <c r="CA24" s="108">
        <v>626</v>
      </c>
      <c r="CB24" s="103">
        <v>2351</v>
      </c>
      <c r="CC24" s="103">
        <v>2977</v>
      </c>
      <c r="CD24" s="103">
        <v>851</v>
      </c>
      <c r="CE24" s="103">
        <v>3828</v>
      </c>
      <c r="CF24" s="103">
        <v>-16749</v>
      </c>
      <c r="CG24" s="104">
        <v>-12921</v>
      </c>
      <c r="CH24" s="103"/>
      <c r="CI24" s="108">
        <v>1754</v>
      </c>
      <c r="CJ24" s="103">
        <v>1720</v>
      </c>
      <c r="CK24" s="103">
        <v>3474</v>
      </c>
      <c r="CL24" s="103">
        <v>3058</v>
      </c>
      <c r="CM24" s="103">
        <v>6532</v>
      </c>
      <c r="CN24" s="103">
        <v>1052</v>
      </c>
      <c r="CO24" s="104">
        <v>7584</v>
      </c>
      <c r="CP24" s="109"/>
      <c r="CQ24" s="108">
        <v>1423</v>
      </c>
      <c r="CR24" s="103">
        <v>2637</v>
      </c>
      <c r="CS24" s="103">
        <v>4060</v>
      </c>
      <c r="CT24" s="103">
        <v>2146</v>
      </c>
      <c r="CU24" s="103">
        <v>6206</v>
      </c>
      <c r="CV24" s="103">
        <v>889</v>
      </c>
      <c r="CW24" s="104">
        <v>7095</v>
      </c>
      <c r="CX24" s="109"/>
      <c r="CY24" s="108">
        <v>1609</v>
      </c>
      <c r="CZ24" s="103">
        <v>3160</v>
      </c>
      <c r="DA24" s="103">
        <v>4769</v>
      </c>
      <c r="DB24" s="103">
        <v>2704</v>
      </c>
      <c r="DC24" s="103">
        <v>7473</v>
      </c>
      <c r="DD24" s="103">
        <v>1441</v>
      </c>
      <c r="DE24" s="104">
        <v>8914</v>
      </c>
      <c r="DF24" s="109"/>
      <c r="DG24" s="108">
        <v>-4681</v>
      </c>
      <c r="DH24" s="103">
        <v>855</v>
      </c>
      <c r="DI24" s="103">
        <v>-3826</v>
      </c>
      <c r="DJ24" s="103">
        <v>2031</v>
      </c>
      <c r="DK24" s="103">
        <v>-1795</v>
      </c>
      <c r="DL24" s="103">
        <v>1277</v>
      </c>
      <c r="DM24" s="104">
        <v>-518</v>
      </c>
    </row>
    <row r="25" spans="1:117" outlineLevel="1" x14ac:dyDescent="0.25">
      <c r="A25" s="95" t="s">
        <v>217</v>
      </c>
      <c r="B25" s="42" t="s">
        <v>18</v>
      </c>
      <c r="C25" s="9"/>
      <c r="D25" s="9"/>
      <c r="E25" s="740">
        <v>49.111999999999995</v>
      </c>
      <c r="F25" s="9"/>
      <c r="G25" s="569">
        <v>19.405999999999999</v>
      </c>
      <c r="H25" s="609">
        <v>44.274999999999999</v>
      </c>
      <c r="I25" s="441">
        <v>63.680999999999997</v>
      </c>
      <c r="J25" s="609">
        <v>24.893999999999998</v>
      </c>
      <c r="K25" s="441">
        <v>88.575000000000003</v>
      </c>
      <c r="L25" s="441">
        <v>-4.5919999999999934</v>
      </c>
      <c r="M25" s="106">
        <v>83.983000000000004</v>
      </c>
      <c r="N25" s="9"/>
      <c r="O25" s="569">
        <v>60</v>
      </c>
      <c r="P25" s="609">
        <v>-52</v>
      </c>
      <c r="Q25" s="441">
        <v>7</v>
      </c>
      <c r="R25" s="609">
        <v>13</v>
      </c>
      <c r="S25" s="441">
        <v>21</v>
      </c>
      <c r="T25" s="441">
        <v>21</v>
      </c>
      <c r="U25" s="441">
        <v>42</v>
      </c>
      <c r="V25" s="600"/>
      <c r="W25" s="569">
        <v>40</v>
      </c>
      <c r="X25" s="441">
        <f t="shared" si="0"/>
        <v>33</v>
      </c>
      <c r="Y25" s="441">
        <v>73</v>
      </c>
      <c r="Z25" s="441">
        <f t="shared" si="0"/>
        <v>48</v>
      </c>
      <c r="AA25" s="424">
        <v>121</v>
      </c>
      <c r="AB25" s="441">
        <f t="shared" si="0"/>
        <v>40.50200000000001</v>
      </c>
      <c r="AC25" s="29">
        <v>161.50200000000001</v>
      </c>
      <c r="AD25" s="483"/>
      <c r="AE25" s="107">
        <v>43</v>
      </c>
      <c r="AF25" s="441">
        <f t="shared" si="1"/>
        <v>40</v>
      </c>
      <c r="AG25" s="441">
        <v>83</v>
      </c>
      <c r="AH25" s="441">
        <f t="shared" si="2"/>
        <v>39</v>
      </c>
      <c r="AI25" s="441">
        <v>122</v>
      </c>
      <c r="AJ25" s="408">
        <f t="shared" si="3"/>
        <v>22</v>
      </c>
      <c r="AK25" s="29">
        <f>162-18</f>
        <v>144</v>
      </c>
      <c r="AL25" s="9"/>
      <c r="AM25" s="107">
        <v>40</v>
      </c>
      <c r="AN25" s="441">
        <v>40</v>
      </c>
      <c r="AO25" s="441">
        <v>80</v>
      </c>
      <c r="AP25" s="441">
        <v>-10</v>
      </c>
      <c r="AQ25" s="441">
        <v>70</v>
      </c>
      <c r="AR25" s="441">
        <f t="shared" si="4"/>
        <v>99</v>
      </c>
      <c r="AS25" s="106">
        <v>169</v>
      </c>
      <c r="AT25" s="9"/>
      <c r="AU25" s="446">
        <v>24</v>
      </c>
      <c r="AV25" s="441">
        <v>24</v>
      </c>
      <c r="AW25" s="441">
        <v>48</v>
      </c>
      <c r="AX25" s="441">
        <v>28</v>
      </c>
      <c r="AY25" s="441">
        <v>76</v>
      </c>
      <c r="AZ25" s="441">
        <v>27</v>
      </c>
      <c r="BA25" s="106">
        <v>103</v>
      </c>
      <c r="BB25" s="9"/>
      <c r="BC25" s="107">
        <v>19</v>
      </c>
      <c r="BD25" s="105">
        <v>23</v>
      </c>
      <c r="BE25" s="105">
        <v>42</v>
      </c>
      <c r="BF25" s="105">
        <v>20</v>
      </c>
      <c r="BG25" s="105">
        <v>62</v>
      </c>
      <c r="BH25" s="105">
        <v>25</v>
      </c>
      <c r="BI25" s="106">
        <v>87</v>
      </c>
      <c r="BJ25" s="9"/>
      <c r="BK25" s="107">
        <v>139</v>
      </c>
      <c r="BL25" s="105">
        <v>20</v>
      </c>
      <c r="BM25" s="105">
        <v>159</v>
      </c>
      <c r="BN25" s="105">
        <v>22</v>
      </c>
      <c r="BO25" s="105">
        <v>181</v>
      </c>
      <c r="BP25" s="105">
        <v>31</v>
      </c>
      <c r="BQ25" s="106">
        <v>212</v>
      </c>
      <c r="BR25" s="9"/>
      <c r="BS25" s="107">
        <v>74</v>
      </c>
      <c r="BT25" s="105">
        <v>85</v>
      </c>
      <c r="BU25" s="105">
        <v>159</v>
      </c>
      <c r="BV25" s="105">
        <v>108</v>
      </c>
      <c r="BW25" s="105">
        <v>267</v>
      </c>
      <c r="BX25" s="105">
        <v>121</v>
      </c>
      <c r="BY25" s="106">
        <v>388</v>
      </c>
      <c r="BZ25" s="9"/>
      <c r="CA25" s="107">
        <v>88</v>
      </c>
      <c r="CB25" s="105">
        <v>86</v>
      </c>
      <c r="CC25" s="105">
        <v>174</v>
      </c>
      <c r="CD25" s="105">
        <v>85</v>
      </c>
      <c r="CE25" s="105">
        <v>259</v>
      </c>
      <c r="CF25" s="105">
        <v>120</v>
      </c>
      <c r="CG25" s="106">
        <v>379</v>
      </c>
      <c r="CH25" s="105"/>
      <c r="CI25" s="107">
        <v>93</v>
      </c>
      <c r="CJ25" s="105">
        <v>97</v>
      </c>
      <c r="CK25" s="105">
        <v>190</v>
      </c>
      <c r="CL25" s="105">
        <v>-108</v>
      </c>
      <c r="CM25" s="105">
        <v>82</v>
      </c>
      <c r="CN25" s="105">
        <v>102</v>
      </c>
      <c r="CO25" s="106">
        <v>184</v>
      </c>
      <c r="CP25" s="109"/>
      <c r="CQ25" s="107">
        <v>78</v>
      </c>
      <c r="CR25" s="105">
        <v>141</v>
      </c>
      <c r="CS25" s="105">
        <v>219</v>
      </c>
      <c r="CT25" s="105">
        <v>60</v>
      </c>
      <c r="CU25" s="105">
        <v>279</v>
      </c>
      <c r="CV25" s="105">
        <v>335</v>
      </c>
      <c r="CW25" s="106">
        <v>614</v>
      </c>
      <c r="CX25" s="109"/>
      <c r="CY25" s="107">
        <v>91</v>
      </c>
      <c r="CZ25" s="105">
        <v>122</v>
      </c>
      <c r="DA25" s="105">
        <v>213</v>
      </c>
      <c r="DB25" s="105">
        <v>89</v>
      </c>
      <c r="DC25" s="105">
        <v>302</v>
      </c>
      <c r="DD25" s="105">
        <v>107</v>
      </c>
      <c r="DE25" s="106">
        <v>409</v>
      </c>
      <c r="DF25" s="109"/>
      <c r="DG25" s="107">
        <v>32</v>
      </c>
      <c r="DH25" s="105">
        <v>104</v>
      </c>
      <c r="DI25" s="105">
        <v>136</v>
      </c>
      <c r="DJ25" s="105">
        <v>68</v>
      </c>
      <c r="DK25" s="105">
        <v>204</v>
      </c>
      <c r="DL25" s="105">
        <v>110</v>
      </c>
      <c r="DM25" s="106">
        <v>314</v>
      </c>
    </row>
    <row r="26" spans="1:117" outlineLevel="1" x14ac:dyDescent="0.25">
      <c r="A26" s="95" t="s">
        <v>215</v>
      </c>
      <c r="B26" s="42" t="s">
        <v>19</v>
      </c>
      <c r="C26" s="9"/>
      <c r="D26" s="9"/>
      <c r="E26" s="740">
        <v>148.036</v>
      </c>
      <c r="F26" s="9"/>
      <c r="G26" s="569">
        <v>142.68</v>
      </c>
      <c r="H26" s="609">
        <v>152.941</v>
      </c>
      <c r="I26" s="441">
        <v>295.62099999999998</v>
      </c>
      <c r="J26" s="609">
        <v>148.75299999999999</v>
      </c>
      <c r="K26" s="441">
        <v>444.37400000000002</v>
      </c>
      <c r="L26" s="441">
        <v>113.67100000000002</v>
      </c>
      <c r="M26" s="106">
        <v>558.04500000000007</v>
      </c>
      <c r="N26" s="9"/>
      <c r="O26" s="569">
        <v>-35</v>
      </c>
      <c r="P26" s="609">
        <v>115</v>
      </c>
      <c r="Q26" s="441">
        <v>81</v>
      </c>
      <c r="R26" s="609">
        <v>140</v>
      </c>
      <c r="S26" s="441">
        <v>220</v>
      </c>
      <c r="T26" s="441">
        <f>150+1</f>
        <v>151</v>
      </c>
      <c r="U26" s="441">
        <v>371</v>
      </c>
      <c r="V26" s="600"/>
      <c r="W26" s="569">
        <v>4</v>
      </c>
      <c r="X26" s="441">
        <f t="shared" si="0"/>
        <v>6</v>
      </c>
      <c r="Y26" s="441">
        <v>10</v>
      </c>
      <c r="Z26" s="441">
        <f t="shared" si="0"/>
        <v>6</v>
      </c>
      <c r="AA26" s="424">
        <v>16</v>
      </c>
      <c r="AB26" s="441">
        <f t="shared" si="0"/>
        <v>-11</v>
      </c>
      <c r="AC26" s="29">
        <v>5</v>
      </c>
      <c r="AD26" s="483"/>
      <c r="AE26" s="107">
        <v>6</v>
      </c>
      <c r="AF26" s="441">
        <f t="shared" si="1"/>
        <v>6</v>
      </c>
      <c r="AG26" s="441">
        <v>12</v>
      </c>
      <c r="AH26" s="441">
        <f t="shared" si="2"/>
        <v>8</v>
      </c>
      <c r="AI26" s="441">
        <v>20</v>
      </c>
      <c r="AJ26" s="408">
        <f t="shared" si="3"/>
        <v>6</v>
      </c>
      <c r="AK26" s="29">
        <v>26</v>
      </c>
      <c r="AL26" s="9"/>
      <c r="AM26" s="107">
        <v>0</v>
      </c>
      <c r="AN26" s="441">
        <v>0</v>
      </c>
      <c r="AO26" s="441">
        <v>0</v>
      </c>
      <c r="AP26" s="441">
        <v>5</v>
      </c>
      <c r="AQ26" s="441">
        <v>5</v>
      </c>
      <c r="AR26" s="441">
        <f t="shared" si="4"/>
        <v>1</v>
      </c>
      <c r="AS26" s="106">
        <v>6</v>
      </c>
      <c r="AT26" s="9"/>
      <c r="AU26" s="446">
        <v>0</v>
      </c>
      <c r="AV26" s="441">
        <v>0</v>
      </c>
      <c r="AW26" s="441">
        <v>0</v>
      </c>
      <c r="AX26" s="441">
        <v>0</v>
      </c>
      <c r="AY26" s="441">
        <v>0</v>
      </c>
      <c r="AZ26" s="441">
        <v>0</v>
      </c>
      <c r="BA26" s="106">
        <v>0</v>
      </c>
      <c r="BB26" s="9"/>
      <c r="BC26" s="107">
        <v>0</v>
      </c>
      <c r="BD26" s="105">
        <v>-1</v>
      </c>
      <c r="BE26" s="105">
        <v>-1</v>
      </c>
      <c r="BF26" s="105">
        <v>0</v>
      </c>
      <c r="BG26" s="105">
        <v>-1</v>
      </c>
      <c r="BH26" s="105">
        <v>0</v>
      </c>
      <c r="BI26" s="106">
        <v>-1</v>
      </c>
      <c r="BJ26" s="9"/>
      <c r="BK26" s="107">
        <v>0</v>
      </c>
      <c r="BL26" s="105">
        <v>0</v>
      </c>
      <c r="BM26" s="105">
        <v>0</v>
      </c>
      <c r="BN26" s="105">
        <v>0</v>
      </c>
      <c r="BO26" s="105">
        <v>0</v>
      </c>
      <c r="BP26" s="105">
        <v>0</v>
      </c>
      <c r="BQ26" s="106">
        <v>0</v>
      </c>
      <c r="BR26" s="9"/>
      <c r="BS26" s="107">
        <v>0</v>
      </c>
      <c r="BT26" s="105">
        <v>0</v>
      </c>
      <c r="BU26" s="105">
        <v>0</v>
      </c>
      <c r="BV26" s="105">
        <v>0</v>
      </c>
      <c r="BW26" s="105">
        <v>0</v>
      </c>
      <c r="BX26" s="105">
        <v>0</v>
      </c>
      <c r="BY26" s="106">
        <v>0</v>
      </c>
      <c r="BZ26" s="9"/>
      <c r="CA26" s="107">
        <v>-1</v>
      </c>
      <c r="CB26" s="105">
        <v>0</v>
      </c>
      <c r="CC26" s="105">
        <v>-1</v>
      </c>
      <c r="CD26" s="105">
        <v>-1</v>
      </c>
      <c r="CE26" s="105">
        <v>-2</v>
      </c>
      <c r="CF26" s="105">
        <v>2</v>
      </c>
      <c r="CG26" s="106">
        <v>0</v>
      </c>
      <c r="CH26" s="105"/>
      <c r="CI26" s="107">
        <v>1</v>
      </c>
      <c r="CJ26" s="105">
        <v>-2</v>
      </c>
      <c r="CK26" s="105">
        <v>-1</v>
      </c>
      <c r="CL26" s="105">
        <v>6</v>
      </c>
      <c r="CM26" s="105">
        <v>5</v>
      </c>
      <c r="CN26" s="105">
        <v>8</v>
      </c>
      <c r="CO26" s="106">
        <v>13</v>
      </c>
      <c r="CP26" s="109"/>
      <c r="CQ26" s="107">
        <v>-1</v>
      </c>
      <c r="CR26" s="105">
        <v>-1</v>
      </c>
      <c r="CS26" s="105">
        <v>-2</v>
      </c>
      <c r="CT26" s="105">
        <v>-1</v>
      </c>
      <c r="CU26" s="105">
        <v>-3</v>
      </c>
      <c r="CV26" s="105">
        <v>1</v>
      </c>
      <c r="CW26" s="106">
        <v>-2</v>
      </c>
      <c r="CX26" s="109"/>
      <c r="CY26" s="107">
        <v>5</v>
      </c>
      <c r="CZ26" s="105">
        <v>1</v>
      </c>
      <c r="DA26" s="105">
        <v>6</v>
      </c>
      <c r="DB26" s="105">
        <v>5</v>
      </c>
      <c r="DC26" s="105">
        <v>11</v>
      </c>
      <c r="DD26" s="105">
        <v>11</v>
      </c>
      <c r="DE26" s="106">
        <v>22</v>
      </c>
      <c r="DF26" s="109"/>
      <c r="DG26" s="107">
        <v>-1</v>
      </c>
      <c r="DH26" s="105">
        <v>-3</v>
      </c>
      <c r="DI26" s="105">
        <v>-4</v>
      </c>
      <c r="DJ26" s="105">
        <v>0</v>
      </c>
      <c r="DK26" s="105">
        <v>-4</v>
      </c>
      <c r="DL26" s="105">
        <v>2</v>
      </c>
      <c r="DM26" s="106">
        <v>-2</v>
      </c>
    </row>
    <row r="27" spans="1:117" outlineLevel="1" x14ac:dyDescent="0.25">
      <c r="A27" s="95" t="s">
        <v>216</v>
      </c>
      <c r="B27" s="42" t="s">
        <v>20</v>
      </c>
      <c r="C27" s="9"/>
      <c r="D27" s="9"/>
      <c r="E27" s="740">
        <v>2116.9749999999999</v>
      </c>
      <c r="F27" s="9"/>
      <c r="G27" s="569">
        <v>1915.4590000000001</v>
      </c>
      <c r="H27" s="609">
        <v>2118.2289999999998</v>
      </c>
      <c r="I27" s="441">
        <v>4033.6880000000001</v>
      </c>
      <c r="J27" s="609">
        <v>2152.8049999999998</v>
      </c>
      <c r="K27" s="441">
        <v>6186.4930000000004</v>
      </c>
      <c r="L27" s="441">
        <v>2156.1280000000002</v>
      </c>
      <c r="M27" s="106">
        <v>8342.6209999999992</v>
      </c>
      <c r="N27" s="9"/>
      <c r="O27" s="569">
        <v>1700</v>
      </c>
      <c r="P27" s="609">
        <v>1797</v>
      </c>
      <c r="Q27" s="441">
        <v>3497</v>
      </c>
      <c r="R27" s="609">
        <v>1816</v>
      </c>
      <c r="S27" s="441">
        <v>5313</v>
      </c>
      <c r="T27" s="441">
        <v>1808</v>
      </c>
      <c r="U27" s="441">
        <v>7121</v>
      </c>
      <c r="V27" s="600"/>
      <c r="W27" s="569">
        <v>1649</v>
      </c>
      <c r="X27" s="441">
        <f t="shared" si="0"/>
        <v>1723</v>
      </c>
      <c r="Y27" s="441">
        <v>3372</v>
      </c>
      <c r="Z27" s="441">
        <f t="shared" si="0"/>
        <v>1706</v>
      </c>
      <c r="AA27" s="424">
        <v>5078</v>
      </c>
      <c r="AB27" s="441">
        <f t="shared" si="0"/>
        <v>1727.7420000000002</v>
      </c>
      <c r="AC27" s="29">
        <v>6805.7420000000002</v>
      </c>
      <c r="AD27" s="483"/>
      <c r="AE27" s="107">
        <v>1267</v>
      </c>
      <c r="AF27" s="441">
        <f t="shared" si="1"/>
        <v>1278</v>
      </c>
      <c r="AG27" s="441">
        <v>2545</v>
      </c>
      <c r="AH27" s="441">
        <f t="shared" si="2"/>
        <v>1402</v>
      </c>
      <c r="AI27" s="441">
        <v>3947</v>
      </c>
      <c r="AJ27" s="408">
        <f t="shared" si="3"/>
        <v>1571</v>
      </c>
      <c r="AK27" s="29">
        <v>5518</v>
      </c>
      <c r="AL27" s="9"/>
      <c r="AM27" s="107">
        <v>1462</v>
      </c>
      <c r="AN27" s="441">
        <v>1353</v>
      </c>
      <c r="AO27" s="441">
        <v>2815</v>
      </c>
      <c r="AP27" s="441">
        <v>1313</v>
      </c>
      <c r="AQ27" s="441">
        <v>4128</v>
      </c>
      <c r="AR27" s="441">
        <f t="shared" si="4"/>
        <v>1327</v>
      </c>
      <c r="AS27" s="106">
        <v>5455</v>
      </c>
      <c r="AT27" s="9"/>
      <c r="AU27" s="446">
        <v>1467</v>
      </c>
      <c r="AV27" s="441">
        <v>1415</v>
      </c>
      <c r="AW27" s="441">
        <v>2882</v>
      </c>
      <c r="AX27" s="441">
        <v>1418</v>
      </c>
      <c r="AY27" s="441">
        <v>4300</v>
      </c>
      <c r="AZ27" s="441">
        <v>1430</v>
      </c>
      <c r="BA27" s="106">
        <v>5730</v>
      </c>
      <c r="BB27" s="9"/>
      <c r="BC27" s="107">
        <v>1584</v>
      </c>
      <c r="BD27" s="105">
        <v>1614</v>
      </c>
      <c r="BE27" s="105">
        <v>3198</v>
      </c>
      <c r="BF27" s="105">
        <v>1579</v>
      </c>
      <c r="BG27" s="105">
        <v>4777</v>
      </c>
      <c r="BH27" s="105">
        <v>1518</v>
      </c>
      <c r="BI27" s="106">
        <v>6295</v>
      </c>
      <c r="BJ27" s="9"/>
      <c r="BK27" s="107">
        <v>1630</v>
      </c>
      <c r="BL27" s="105">
        <v>1515</v>
      </c>
      <c r="BM27" s="105">
        <v>3145</v>
      </c>
      <c r="BN27" s="105">
        <v>1515</v>
      </c>
      <c r="BO27" s="105">
        <v>4660</v>
      </c>
      <c r="BP27" s="105">
        <v>1553</v>
      </c>
      <c r="BQ27" s="106">
        <v>6213</v>
      </c>
      <c r="BR27" s="9"/>
      <c r="BS27" s="107">
        <v>1711</v>
      </c>
      <c r="BT27" s="105">
        <v>1715</v>
      </c>
      <c r="BU27" s="105">
        <v>3426</v>
      </c>
      <c r="BV27" s="105">
        <v>1768</v>
      </c>
      <c r="BW27" s="105">
        <v>5194</v>
      </c>
      <c r="BX27" s="105">
        <v>1802</v>
      </c>
      <c r="BY27" s="106">
        <v>6996</v>
      </c>
      <c r="BZ27" s="9"/>
      <c r="CA27" s="107">
        <v>1687</v>
      </c>
      <c r="CB27" s="105">
        <v>1682</v>
      </c>
      <c r="CC27" s="105">
        <v>3369</v>
      </c>
      <c r="CD27" s="105">
        <v>1677</v>
      </c>
      <c r="CE27" s="105">
        <v>5046</v>
      </c>
      <c r="CF27" s="105">
        <v>1675</v>
      </c>
      <c r="CG27" s="106">
        <v>6721</v>
      </c>
      <c r="CH27" s="105"/>
      <c r="CI27" s="107">
        <v>1740</v>
      </c>
      <c r="CJ27" s="105">
        <v>1747</v>
      </c>
      <c r="CK27" s="105">
        <v>3487</v>
      </c>
      <c r="CL27" s="105">
        <v>1763</v>
      </c>
      <c r="CM27" s="105">
        <v>5250</v>
      </c>
      <c r="CN27" s="105">
        <v>1746</v>
      </c>
      <c r="CO27" s="106">
        <v>6996</v>
      </c>
      <c r="CP27" s="109"/>
      <c r="CQ27" s="107">
        <v>1796</v>
      </c>
      <c r="CR27" s="105">
        <v>1819</v>
      </c>
      <c r="CS27" s="105">
        <v>3615</v>
      </c>
      <c r="CT27" s="105">
        <v>1820</v>
      </c>
      <c r="CU27" s="105">
        <v>5435</v>
      </c>
      <c r="CV27" s="105">
        <v>1784</v>
      </c>
      <c r="CW27" s="106">
        <v>7219</v>
      </c>
      <c r="CX27" s="109"/>
      <c r="CY27" s="107">
        <v>1834</v>
      </c>
      <c r="CZ27" s="105">
        <v>1890</v>
      </c>
      <c r="DA27" s="105">
        <v>3724</v>
      </c>
      <c r="DB27" s="105">
        <v>1872</v>
      </c>
      <c r="DC27" s="105">
        <v>5596</v>
      </c>
      <c r="DD27" s="105">
        <v>1836</v>
      </c>
      <c r="DE27" s="106">
        <v>7432</v>
      </c>
      <c r="DF27" s="109"/>
      <c r="DG27" s="107">
        <v>578</v>
      </c>
      <c r="DH27" s="105">
        <v>1903</v>
      </c>
      <c r="DI27" s="105">
        <v>2481</v>
      </c>
      <c r="DJ27" s="105">
        <v>1908</v>
      </c>
      <c r="DK27" s="105">
        <v>4389</v>
      </c>
      <c r="DL27" s="105">
        <v>1883</v>
      </c>
      <c r="DM27" s="106">
        <v>6272</v>
      </c>
    </row>
    <row r="28" spans="1:117" ht="17.25" outlineLevel="1" x14ac:dyDescent="0.4">
      <c r="A28" s="95" t="s">
        <v>218</v>
      </c>
      <c r="B28" s="42" t="s">
        <v>21</v>
      </c>
      <c r="C28" s="9"/>
      <c r="D28" s="9"/>
      <c r="E28" s="741">
        <v>12.054</v>
      </c>
      <c r="F28" s="9"/>
      <c r="G28" s="571">
        <v>-1383.431</v>
      </c>
      <c r="H28" s="610">
        <v>11198.822</v>
      </c>
      <c r="I28" s="461">
        <v>9815.3909999999996</v>
      </c>
      <c r="J28" s="610">
        <v>-8643.1110000000008</v>
      </c>
      <c r="K28" s="461">
        <v>1172.28</v>
      </c>
      <c r="L28" s="461">
        <v>542.32799999999997</v>
      </c>
      <c r="M28" s="113">
        <v>1714.6079999999999</v>
      </c>
      <c r="N28" s="9"/>
      <c r="O28" s="571">
        <v>796</v>
      </c>
      <c r="P28" s="610">
        <v>1190</v>
      </c>
      <c r="Q28" s="461">
        <v>1986</v>
      </c>
      <c r="R28" s="610">
        <v>1196</v>
      </c>
      <c r="S28" s="461">
        <v>3182</v>
      </c>
      <c r="T28" s="461">
        <f>-196</f>
        <v>-196</v>
      </c>
      <c r="U28" s="461">
        <v>2986</v>
      </c>
      <c r="V28" s="600"/>
      <c r="W28" s="571">
        <v>1040</v>
      </c>
      <c r="X28" s="461">
        <f t="shared" si="0"/>
        <v>1348</v>
      </c>
      <c r="Y28" s="461">
        <v>2388</v>
      </c>
      <c r="Z28" s="461">
        <f t="shared" si="0"/>
        <v>876</v>
      </c>
      <c r="AA28" s="428">
        <v>3264</v>
      </c>
      <c r="AB28" s="461">
        <f t="shared" si="0"/>
        <v>921.33799999999974</v>
      </c>
      <c r="AC28" s="33">
        <v>4185.3379999999997</v>
      </c>
      <c r="AD28" s="483"/>
      <c r="AE28" s="111">
        <v>1012</v>
      </c>
      <c r="AF28" s="461">
        <f t="shared" si="1"/>
        <v>1219</v>
      </c>
      <c r="AG28" s="461">
        <v>2231</v>
      </c>
      <c r="AH28" s="461">
        <f t="shared" si="2"/>
        <v>537</v>
      </c>
      <c r="AI28" s="461">
        <v>2768</v>
      </c>
      <c r="AJ28" s="410">
        <f t="shared" si="3"/>
        <v>561</v>
      </c>
      <c r="AK28" s="33">
        <v>3329</v>
      </c>
      <c r="AL28" s="9"/>
      <c r="AM28" s="111">
        <v>536</v>
      </c>
      <c r="AN28" s="461">
        <v>468</v>
      </c>
      <c r="AO28" s="461">
        <v>1004</v>
      </c>
      <c r="AP28" s="461">
        <v>1058</v>
      </c>
      <c r="AQ28" s="461">
        <v>2062</v>
      </c>
      <c r="AR28" s="461">
        <f t="shared" si="4"/>
        <v>-717</v>
      </c>
      <c r="AS28" s="113">
        <v>1345</v>
      </c>
      <c r="AT28" s="9"/>
      <c r="AU28" s="446">
        <v>-454</v>
      </c>
      <c r="AV28" s="461">
        <v>-852</v>
      </c>
      <c r="AW28" s="461">
        <v>-1306</v>
      </c>
      <c r="AX28" s="461">
        <v>1250</v>
      </c>
      <c r="AY28" s="461">
        <v>-56</v>
      </c>
      <c r="AZ28" s="461">
        <v>-142</v>
      </c>
      <c r="BA28" s="113">
        <v>-198</v>
      </c>
      <c r="BB28" s="9"/>
      <c r="BC28" s="111">
        <v>-263</v>
      </c>
      <c r="BD28" s="112">
        <v>717</v>
      </c>
      <c r="BE28" s="112">
        <v>454</v>
      </c>
      <c r="BF28" s="112">
        <v>1225</v>
      </c>
      <c r="BG28" s="112">
        <v>1679</v>
      </c>
      <c r="BH28" s="112">
        <v>-399</v>
      </c>
      <c r="BI28" s="113">
        <v>1280</v>
      </c>
      <c r="BJ28" s="9"/>
      <c r="BK28" s="111">
        <v>-135</v>
      </c>
      <c r="BL28" s="112">
        <v>2481</v>
      </c>
      <c r="BM28" s="112">
        <v>2346</v>
      </c>
      <c r="BN28" s="112">
        <v>100</v>
      </c>
      <c r="BO28" s="112">
        <v>2446</v>
      </c>
      <c r="BP28" s="112">
        <v>-715</v>
      </c>
      <c r="BQ28" s="113">
        <v>1731</v>
      </c>
      <c r="BR28" s="9"/>
      <c r="BS28" s="111">
        <v>365</v>
      </c>
      <c r="BT28" s="112">
        <v>183</v>
      </c>
      <c r="BU28" s="112">
        <v>548</v>
      </c>
      <c r="BV28" s="112">
        <v>-278</v>
      </c>
      <c r="BW28" s="112">
        <v>270</v>
      </c>
      <c r="BX28" s="112">
        <v>-2607</v>
      </c>
      <c r="BY28" s="113">
        <v>-2337</v>
      </c>
      <c r="BZ28" s="9"/>
      <c r="CA28" s="111">
        <v>390</v>
      </c>
      <c r="CB28" s="112">
        <v>-697</v>
      </c>
      <c r="CC28" s="112">
        <v>-307</v>
      </c>
      <c r="CD28" s="112">
        <v>2793</v>
      </c>
      <c r="CE28" s="112">
        <v>2486</v>
      </c>
      <c r="CF28" s="112">
        <v>275</v>
      </c>
      <c r="CG28" s="113">
        <v>2761</v>
      </c>
      <c r="CH28" s="112"/>
      <c r="CI28" s="111">
        <v>-6</v>
      </c>
      <c r="CJ28" s="112">
        <v>-131</v>
      </c>
      <c r="CK28" s="112">
        <v>-137</v>
      </c>
      <c r="CL28" s="112">
        <v>-197</v>
      </c>
      <c r="CM28" s="112">
        <v>-334</v>
      </c>
      <c r="CN28" s="112">
        <v>-78</v>
      </c>
      <c r="CO28" s="113">
        <v>-412</v>
      </c>
      <c r="CP28" s="109"/>
      <c r="CQ28" s="111">
        <v>197</v>
      </c>
      <c r="CR28" s="112">
        <v>-412</v>
      </c>
      <c r="CS28" s="112">
        <v>-215</v>
      </c>
      <c r="CT28" s="112">
        <v>1379</v>
      </c>
      <c r="CU28" s="112">
        <v>1164</v>
      </c>
      <c r="CV28" s="112">
        <v>-2129</v>
      </c>
      <c r="CW28" s="113">
        <v>-965</v>
      </c>
      <c r="CX28" s="109"/>
      <c r="CY28" s="111">
        <v>132</v>
      </c>
      <c r="CZ28" s="112">
        <v>-329</v>
      </c>
      <c r="DA28" s="112">
        <v>-197</v>
      </c>
      <c r="DB28" s="112">
        <v>61</v>
      </c>
      <c r="DC28" s="112">
        <v>-136</v>
      </c>
      <c r="DD28" s="112">
        <v>-399</v>
      </c>
      <c r="DE28" s="113">
        <v>-535</v>
      </c>
      <c r="DF28" s="109"/>
      <c r="DG28" s="111">
        <v>-646</v>
      </c>
      <c r="DH28" s="112">
        <v>-452</v>
      </c>
      <c r="DI28" s="112">
        <v>-1098</v>
      </c>
      <c r="DJ28" s="112">
        <v>-681</v>
      </c>
      <c r="DK28" s="112">
        <v>-1779</v>
      </c>
      <c r="DL28" s="112">
        <v>-167</v>
      </c>
      <c r="DM28" s="113">
        <v>-1946</v>
      </c>
    </row>
    <row r="29" spans="1:117" s="100" customFormat="1" x14ac:dyDescent="0.25">
      <c r="A29" s="95" t="s">
        <v>219</v>
      </c>
      <c r="B29" s="88" t="s">
        <v>24</v>
      </c>
      <c r="C29" s="9"/>
      <c r="D29" s="9"/>
      <c r="E29" s="706">
        <f>E24-SUM(E25:E28)</f>
        <v>5.3559999999974934</v>
      </c>
      <c r="F29" s="9"/>
      <c r="G29" s="567">
        <f>G24-SUM(G25:G28)</f>
        <v>-1606.1240000000021</v>
      </c>
      <c r="H29" s="608">
        <f t="shared" ref="H29:M29" si="11">H24-SUM(H25:H28)</f>
        <v>-13335.145000000002</v>
      </c>
      <c r="I29" s="608">
        <f t="shared" si="11"/>
        <v>-14941.268999999995</v>
      </c>
      <c r="J29" s="608">
        <f t="shared" si="11"/>
        <v>7546.3260000000009</v>
      </c>
      <c r="K29" s="608">
        <f t="shared" si="11"/>
        <v>-7394.9430000000057</v>
      </c>
      <c r="L29" s="608">
        <f t="shared" si="11"/>
        <v>211.35799999999972</v>
      </c>
      <c r="M29" s="622">
        <f t="shared" si="11"/>
        <v>-7183.5850000000082</v>
      </c>
      <c r="N29" s="9"/>
      <c r="O29" s="567">
        <f>O24-SUM(O25:O28)</f>
        <v>1651</v>
      </c>
      <c r="P29" s="608">
        <f t="shared" ref="P29:Q29" si="12">P24-SUM(P25:P28)</f>
        <v>2258</v>
      </c>
      <c r="Q29" s="608">
        <f t="shared" si="12"/>
        <v>3909</v>
      </c>
      <c r="R29" s="608">
        <f t="shared" ref="R29:S29" si="13">R24-SUM(R25:R28)</f>
        <v>2260</v>
      </c>
      <c r="S29" s="608">
        <f t="shared" si="13"/>
        <v>6169</v>
      </c>
      <c r="T29" s="608">
        <f t="shared" ref="T29:U29" si="14">T24-SUM(T25:T28)</f>
        <v>-9138</v>
      </c>
      <c r="U29" s="608">
        <f t="shared" si="14"/>
        <v>-2969</v>
      </c>
      <c r="V29" s="600"/>
      <c r="W29" s="567">
        <v>2305</v>
      </c>
      <c r="X29" s="442">
        <f t="shared" si="0"/>
        <v>2503</v>
      </c>
      <c r="Y29" s="442">
        <v>4808</v>
      </c>
      <c r="Z29" s="442">
        <f t="shared" si="0"/>
        <v>2103</v>
      </c>
      <c r="AA29" s="423">
        <v>6911</v>
      </c>
      <c r="AB29" s="442">
        <f t="shared" si="0"/>
        <v>3523.1180000000004</v>
      </c>
      <c r="AC29" s="21">
        <v>10434.118</v>
      </c>
      <c r="AD29" s="483"/>
      <c r="AE29" s="108">
        <v>960</v>
      </c>
      <c r="AF29" s="442">
        <f t="shared" si="1"/>
        <v>2782</v>
      </c>
      <c r="AG29" s="442">
        <f>AG24-SUM(AG25:AG28)</f>
        <v>3742</v>
      </c>
      <c r="AH29" s="442">
        <f t="shared" si="2"/>
        <v>3475</v>
      </c>
      <c r="AI29" s="442">
        <f>AI24-SUM(AI25:AI28)</f>
        <v>7217</v>
      </c>
      <c r="AJ29" s="406">
        <f t="shared" si="3"/>
        <v>466</v>
      </c>
      <c r="AK29" s="21">
        <v>7683</v>
      </c>
      <c r="AL29" s="9"/>
      <c r="AM29" s="108">
        <v>958</v>
      </c>
      <c r="AN29" s="442">
        <v>636</v>
      </c>
      <c r="AO29" s="442">
        <v>1594</v>
      </c>
      <c r="AP29" s="442">
        <v>2245</v>
      </c>
      <c r="AQ29" s="442">
        <v>3839</v>
      </c>
      <c r="AR29" s="442">
        <f t="shared" si="4"/>
        <v>1174</v>
      </c>
      <c r="AS29" s="104">
        <v>5013</v>
      </c>
      <c r="AT29" s="9"/>
      <c r="AU29" s="446">
        <v>616</v>
      </c>
      <c r="AV29" s="442">
        <v>856</v>
      </c>
      <c r="AW29" s="442">
        <v>1472</v>
      </c>
      <c r="AX29" s="442">
        <v>-3191</v>
      </c>
      <c r="AY29" s="442">
        <v>-1719</v>
      </c>
      <c r="AZ29" s="442">
        <v>-1820</v>
      </c>
      <c r="BA29" s="104">
        <v>-3539</v>
      </c>
      <c r="BB29" s="9"/>
      <c r="BC29" s="108">
        <v>137</v>
      </c>
      <c r="BD29" s="103">
        <v>-126</v>
      </c>
      <c r="BE29" s="103">
        <v>11</v>
      </c>
      <c r="BF29" s="103">
        <v>-143</v>
      </c>
      <c r="BG29" s="103">
        <v>-132</v>
      </c>
      <c r="BH29" s="103">
        <v>832</v>
      </c>
      <c r="BI29" s="104">
        <v>700</v>
      </c>
      <c r="BJ29" s="9"/>
      <c r="BK29" s="108">
        <v>91</v>
      </c>
      <c r="BL29" s="103">
        <v>-1071</v>
      </c>
      <c r="BM29" s="103">
        <v>-980</v>
      </c>
      <c r="BN29" s="103">
        <v>650</v>
      </c>
      <c r="BO29" s="103">
        <v>-330</v>
      </c>
      <c r="BP29" s="103">
        <v>-410</v>
      </c>
      <c r="BQ29" s="104">
        <v>-740</v>
      </c>
      <c r="BR29" s="9"/>
      <c r="BS29" s="108">
        <v>-10547</v>
      </c>
      <c r="BT29" s="103">
        <v>-137</v>
      </c>
      <c r="BU29" s="103">
        <v>-10684</v>
      </c>
      <c r="BV29" s="103">
        <v>402</v>
      </c>
      <c r="BW29" s="103">
        <v>-10282</v>
      </c>
      <c r="BX29" s="103">
        <v>-458</v>
      </c>
      <c r="BY29" s="104">
        <v>-10740</v>
      </c>
      <c r="BZ29" s="9"/>
      <c r="CA29" s="108">
        <v>-1538</v>
      </c>
      <c r="CB29" s="103">
        <v>1280</v>
      </c>
      <c r="CC29" s="103">
        <v>-258</v>
      </c>
      <c r="CD29" s="103">
        <v>-3703</v>
      </c>
      <c r="CE29" s="103">
        <v>-3961</v>
      </c>
      <c r="CF29" s="103">
        <v>-18821</v>
      </c>
      <c r="CG29" s="104">
        <v>-22782</v>
      </c>
      <c r="CH29" s="103"/>
      <c r="CI29" s="108">
        <v>-74</v>
      </c>
      <c r="CJ29" s="103">
        <v>9</v>
      </c>
      <c r="CK29" s="103">
        <v>-65</v>
      </c>
      <c r="CL29" s="103">
        <v>1594</v>
      </c>
      <c r="CM29" s="103">
        <v>1529</v>
      </c>
      <c r="CN29" s="103">
        <v>-726</v>
      </c>
      <c r="CO29" s="104">
        <v>803</v>
      </c>
      <c r="CP29" s="109"/>
      <c r="CQ29" s="108">
        <v>-647</v>
      </c>
      <c r="CR29" s="103">
        <v>1090</v>
      </c>
      <c r="CS29" s="103">
        <v>443</v>
      </c>
      <c r="CT29" s="103">
        <v>-1112</v>
      </c>
      <c r="CU29" s="103">
        <v>-669</v>
      </c>
      <c r="CV29" s="103">
        <v>898</v>
      </c>
      <c r="CW29" s="104">
        <v>229</v>
      </c>
      <c r="CX29" s="109"/>
      <c r="CY29" s="108">
        <v>-453</v>
      </c>
      <c r="CZ29" s="103">
        <v>1476</v>
      </c>
      <c r="DA29" s="103">
        <v>1023</v>
      </c>
      <c r="DB29" s="103">
        <v>677</v>
      </c>
      <c r="DC29" s="103">
        <v>1700</v>
      </c>
      <c r="DD29" s="103">
        <v>-114</v>
      </c>
      <c r="DE29" s="104">
        <v>1586</v>
      </c>
      <c r="DF29" s="109"/>
      <c r="DG29" s="108">
        <v>-4644</v>
      </c>
      <c r="DH29" s="103">
        <v>-697</v>
      </c>
      <c r="DI29" s="103">
        <v>-5341</v>
      </c>
      <c r="DJ29" s="103">
        <v>736</v>
      </c>
      <c r="DK29" s="103">
        <v>-4605</v>
      </c>
      <c r="DL29" s="103">
        <v>-551</v>
      </c>
      <c r="DM29" s="104">
        <v>-5156</v>
      </c>
    </row>
    <row r="30" spans="1:117" outlineLevel="1" x14ac:dyDescent="0.25">
      <c r="B30" s="114" t="s">
        <v>54</v>
      </c>
      <c r="C30" s="9"/>
      <c r="D30" s="9"/>
      <c r="E30" s="740"/>
      <c r="F30" s="9"/>
      <c r="G30" s="569"/>
      <c r="H30" s="441"/>
      <c r="I30" s="441"/>
      <c r="J30" s="441"/>
      <c r="K30" s="441"/>
      <c r="L30" s="441"/>
      <c r="M30" s="106"/>
      <c r="N30" s="9"/>
      <c r="O30" s="569"/>
      <c r="P30" s="441"/>
      <c r="Q30" s="441"/>
      <c r="R30" s="441"/>
      <c r="S30" s="441"/>
      <c r="T30" s="441"/>
      <c r="U30" s="441"/>
      <c r="V30" s="600"/>
      <c r="W30" s="569"/>
      <c r="X30" s="441"/>
      <c r="Y30" s="441"/>
      <c r="Z30" s="441">
        <f t="shared" si="0"/>
        <v>0</v>
      </c>
      <c r="AA30" s="423"/>
      <c r="AB30" s="441">
        <f t="shared" si="0"/>
        <v>0</v>
      </c>
      <c r="AC30" s="29"/>
      <c r="AD30" s="483"/>
      <c r="AE30" s="107"/>
      <c r="AF30" s="441">
        <f t="shared" si="1"/>
        <v>0</v>
      </c>
      <c r="AG30" s="441"/>
      <c r="AH30" s="441">
        <f t="shared" si="2"/>
        <v>0</v>
      </c>
      <c r="AI30" s="441"/>
      <c r="AJ30" s="408">
        <f t="shared" si="3"/>
        <v>0</v>
      </c>
      <c r="AK30" s="29">
        <v>0</v>
      </c>
      <c r="AL30" s="9"/>
      <c r="AM30" s="107"/>
      <c r="AN30" s="441"/>
      <c r="AO30" s="441"/>
      <c r="AP30" s="441"/>
      <c r="AQ30" s="441"/>
      <c r="AR30" s="441"/>
      <c r="AS30" s="106"/>
      <c r="AT30" s="9"/>
      <c r="AU30" s="446"/>
      <c r="AV30" s="441"/>
      <c r="AW30" s="441"/>
      <c r="AX30" s="441"/>
      <c r="AY30" s="441"/>
      <c r="AZ30" s="441"/>
      <c r="BA30" s="106"/>
      <c r="BB30" s="9"/>
      <c r="BC30" s="107"/>
      <c r="BD30" s="105"/>
      <c r="BE30" s="105"/>
      <c r="BF30" s="105"/>
      <c r="BG30" s="105"/>
      <c r="BH30" s="105"/>
      <c r="BI30" s="106"/>
      <c r="BJ30" s="9"/>
      <c r="BK30" s="107"/>
      <c r="BL30" s="105"/>
      <c r="BM30" s="105"/>
      <c r="BN30" s="105"/>
      <c r="BO30" s="105"/>
      <c r="BP30" s="105"/>
      <c r="BQ30" s="106"/>
      <c r="BR30" s="9"/>
      <c r="BS30" s="107"/>
      <c r="BT30" s="105"/>
      <c r="BU30" s="105"/>
      <c r="BV30" s="105"/>
      <c r="BW30" s="105"/>
      <c r="BX30" s="105"/>
      <c r="BY30" s="106"/>
      <c r="BZ30" s="9"/>
      <c r="CA30" s="107"/>
      <c r="CB30" s="105"/>
      <c r="CC30" s="105"/>
      <c r="CD30" s="105"/>
      <c r="CE30" s="105"/>
      <c r="CF30" s="105"/>
      <c r="CG30" s="106"/>
      <c r="CH30" s="105"/>
      <c r="CI30" s="107"/>
      <c r="CJ30" s="105"/>
      <c r="CK30" s="105"/>
      <c r="CL30" s="105"/>
      <c r="CM30" s="105"/>
      <c r="CN30" s="105"/>
      <c r="CO30" s="106"/>
      <c r="CP30" s="109"/>
      <c r="CQ30" s="107"/>
      <c r="CR30" s="105"/>
      <c r="CS30" s="116"/>
      <c r="CT30" s="105"/>
      <c r="CU30" s="105"/>
      <c r="CV30" s="105"/>
      <c r="CW30" s="117"/>
      <c r="CX30" s="109"/>
      <c r="CY30" s="107"/>
      <c r="CZ30" s="105"/>
      <c r="DA30" s="116"/>
      <c r="DB30" s="105"/>
      <c r="DC30" s="105"/>
      <c r="DD30" s="105"/>
      <c r="DE30" s="117"/>
      <c r="DF30" s="109"/>
      <c r="DG30" s="107"/>
      <c r="DH30" s="105"/>
      <c r="DI30" s="116"/>
      <c r="DJ30" s="105"/>
      <c r="DK30" s="105"/>
      <c r="DL30" s="105"/>
      <c r="DM30" s="117"/>
    </row>
    <row r="31" spans="1:117" outlineLevel="1" x14ac:dyDescent="0.25">
      <c r="A31" s="95" t="s">
        <v>21</v>
      </c>
      <c r="B31" s="42" t="s">
        <v>21</v>
      </c>
      <c r="C31" s="9"/>
      <c r="D31" s="9"/>
      <c r="E31" s="740">
        <f>E28</f>
        <v>12.054</v>
      </c>
      <c r="F31" s="9"/>
      <c r="G31" s="569">
        <f>G28</f>
        <v>-1383.431</v>
      </c>
      <c r="H31" s="609">
        <v>1190</v>
      </c>
      <c r="I31" s="609">
        <f t="shared" ref="I31" si="15">I28</f>
        <v>9815.3909999999996</v>
      </c>
      <c r="J31" s="609">
        <v>1196</v>
      </c>
      <c r="K31" s="609">
        <f t="shared" ref="K31:M31" si="16">K28</f>
        <v>1172.28</v>
      </c>
      <c r="L31" s="609">
        <f t="shared" si="16"/>
        <v>542.32799999999997</v>
      </c>
      <c r="M31" s="623">
        <f t="shared" si="16"/>
        <v>1714.6079999999999</v>
      </c>
      <c r="N31" s="9"/>
      <c r="O31" s="569">
        <f>O28</f>
        <v>796</v>
      </c>
      <c r="P31" s="609">
        <v>1190</v>
      </c>
      <c r="Q31" s="609">
        <f t="shared" ref="Q31:S31" si="17">Q28</f>
        <v>1986</v>
      </c>
      <c r="R31" s="609">
        <v>1196</v>
      </c>
      <c r="S31" s="609">
        <f t="shared" si="17"/>
        <v>3182</v>
      </c>
      <c r="T31" s="609">
        <f t="shared" ref="T31:U31" si="18">T28</f>
        <v>-196</v>
      </c>
      <c r="U31" s="609">
        <f t="shared" si="18"/>
        <v>2986</v>
      </c>
      <c r="V31" s="600"/>
      <c r="W31" s="569">
        <v>1040</v>
      </c>
      <c r="X31" s="441">
        <f t="shared" si="0"/>
        <v>1348</v>
      </c>
      <c r="Y31" s="441">
        <v>2388</v>
      </c>
      <c r="Z31" s="441">
        <f t="shared" si="0"/>
        <v>876</v>
      </c>
      <c r="AA31" s="424">
        <v>3264</v>
      </c>
      <c r="AB31" s="441">
        <f t="shared" si="0"/>
        <v>921.33799999999974</v>
      </c>
      <c r="AC31" s="29">
        <v>4185.3379999999997</v>
      </c>
      <c r="AD31" s="483"/>
      <c r="AE31" s="107">
        <v>1012</v>
      </c>
      <c r="AF31" s="441">
        <f t="shared" si="1"/>
        <v>1219</v>
      </c>
      <c r="AG31" s="441">
        <v>2231</v>
      </c>
      <c r="AH31" s="441">
        <f t="shared" si="2"/>
        <v>537</v>
      </c>
      <c r="AI31" s="441">
        <v>2768</v>
      </c>
      <c r="AJ31" s="408">
        <f t="shared" si="3"/>
        <v>561</v>
      </c>
      <c r="AK31" s="29">
        <v>3329</v>
      </c>
      <c r="AL31" s="9"/>
      <c r="AM31" s="107">
        <v>536</v>
      </c>
      <c r="AN31" s="441">
        <v>468</v>
      </c>
      <c r="AO31" s="441">
        <v>1004</v>
      </c>
      <c r="AP31" s="441">
        <v>1058</v>
      </c>
      <c r="AQ31" s="441">
        <v>2062</v>
      </c>
      <c r="AR31" s="441">
        <f t="shared" si="4"/>
        <v>-717</v>
      </c>
      <c r="AS31" s="106">
        <v>1345</v>
      </c>
      <c r="AT31" s="9"/>
      <c r="AU31" s="446">
        <v>-454</v>
      </c>
      <c r="AV31" s="441">
        <v>-852</v>
      </c>
      <c r="AW31" s="441">
        <v>-1306</v>
      </c>
      <c r="AX31" s="441">
        <v>1250</v>
      </c>
      <c r="AY31" s="441">
        <v>-56</v>
      </c>
      <c r="AZ31" s="441">
        <v>-142</v>
      </c>
      <c r="BA31" s="106">
        <v>-198</v>
      </c>
      <c r="BB31" s="9"/>
      <c r="BC31" s="107">
        <v>-263</v>
      </c>
      <c r="BD31" s="105">
        <v>717</v>
      </c>
      <c r="BE31" s="105">
        <v>454</v>
      </c>
      <c r="BF31" s="105">
        <v>1225</v>
      </c>
      <c r="BG31" s="105">
        <v>1679</v>
      </c>
      <c r="BH31" s="105">
        <v>-399</v>
      </c>
      <c r="BI31" s="106">
        <v>1280</v>
      </c>
      <c r="BJ31" s="9"/>
      <c r="BK31" s="107">
        <v>-135</v>
      </c>
      <c r="BL31" s="105">
        <v>2481</v>
      </c>
      <c r="BM31" s="105">
        <v>2346</v>
      </c>
      <c r="BN31" s="105">
        <v>100</v>
      </c>
      <c r="BO31" s="105">
        <v>2446</v>
      </c>
      <c r="BP31" s="105">
        <v>-715</v>
      </c>
      <c r="BQ31" s="106">
        <v>1731</v>
      </c>
      <c r="BR31" s="9"/>
      <c r="BS31" s="107">
        <v>365</v>
      </c>
      <c r="BT31" s="105">
        <v>183</v>
      </c>
      <c r="BU31" s="105">
        <v>548</v>
      </c>
      <c r="BV31" s="105">
        <v>-278</v>
      </c>
      <c r="BW31" s="105">
        <v>270</v>
      </c>
      <c r="BX31" s="105">
        <v>-2607</v>
      </c>
      <c r="BY31" s="106">
        <v>-2337</v>
      </c>
      <c r="BZ31" s="9"/>
      <c r="CA31" s="107">
        <v>390</v>
      </c>
      <c r="CB31" s="105">
        <v>-697</v>
      </c>
      <c r="CC31" s="105">
        <v>-307</v>
      </c>
      <c r="CD31" s="105">
        <v>2793</v>
      </c>
      <c r="CE31" s="105">
        <v>2486</v>
      </c>
      <c r="CF31" s="105">
        <v>275</v>
      </c>
      <c r="CG31" s="106">
        <v>2761</v>
      </c>
      <c r="CH31" s="105"/>
      <c r="CI31" s="107">
        <v>-6</v>
      </c>
      <c r="CJ31" s="105">
        <v>-131</v>
      </c>
      <c r="CK31" s="105">
        <v>-137</v>
      </c>
      <c r="CL31" s="105">
        <v>-197</v>
      </c>
      <c r="CM31" s="105">
        <v>-334</v>
      </c>
      <c r="CN31" s="105">
        <v>-78</v>
      </c>
      <c r="CO31" s="106">
        <v>-412</v>
      </c>
      <c r="CP31" s="109"/>
      <c r="CQ31" s="107">
        <v>197</v>
      </c>
      <c r="CR31" s="105">
        <v>-412</v>
      </c>
      <c r="CS31" s="105">
        <v>-215</v>
      </c>
      <c r="CT31" s="105">
        <v>1379</v>
      </c>
      <c r="CU31" s="105">
        <v>1164</v>
      </c>
      <c r="CV31" s="105">
        <v>-2129</v>
      </c>
      <c r="CW31" s="106">
        <v>-965</v>
      </c>
      <c r="CX31" s="109"/>
      <c r="CY31" s="107">
        <v>132</v>
      </c>
      <c r="CZ31" s="105">
        <v>-329</v>
      </c>
      <c r="DA31" s="105">
        <v>-197</v>
      </c>
      <c r="DB31" s="105">
        <v>61</v>
      </c>
      <c r="DC31" s="105">
        <v>-136</v>
      </c>
      <c r="DD31" s="105">
        <v>-399</v>
      </c>
      <c r="DE31" s="106">
        <v>-535</v>
      </c>
      <c r="DF31" s="109"/>
      <c r="DG31" s="107">
        <v>-646</v>
      </c>
      <c r="DH31" s="105">
        <v>-452</v>
      </c>
      <c r="DI31" s="105">
        <v>-1098</v>
      </c>
      <c r="DJ31" s="105">
        <v>-681</v>
      </c>
      <c r="DK31" s="105">
        <v>-1779</v>
      </c>
      <c r="DL31" s="105">
        <v>-167</v>
      </c>
      <c r="DM31" s="106">
        <v>-1946</v>
      </c>
    </row>
    <row r="32" spans="1:117" outlineLevel="1" x14ac:dyDescent="0.25">
      <c r="A32" s="95" t="s">
        <v>195</v>
      </c>
      <c r="B32" s="42" t="s">
        <v>19</v>
      </c>
      <c r="C32" s="9"/>
      <c r="D32" s="9"/>
      <c r="E32" s="740">
        <f>E26</f>
        <v>148.036</v>
      </c>
      <c r="F32" s="9"/>
      <c r="G32" s="569">
        <f>G26</f>
        <v>142.68</v>
      </c>
      <c r="H32" s="609">
        <v>115</v>
      </c>
      <c r="I32" s="609">
        <f t="shared" ref="I32" si="19">I26</f>
        <v>295.62099999999998</v>
      </c>
      <c r="J32" s="609">
        <v>139</v>
      </c>
      <c r="K32" s="609">
        <f t="shared" ref="K32:M32" si="20">K26</f>
        <v>444.37400000000002</v>
      </c>
      <c r="L32" s="609">
        <f t="shared" si="20"/>
        <v>113.67100000000002</v>
      </c>
      <c r="M32" s="623">
        <f t="shared" si="20"/>
        <v>558.04500000000007</v>
      </c>
      <c r="N32" s="9"/>
      <c r="O32" s="569">
        <f>O26</f>
        <v>-35</v>
      </c>
      <c r="P32" s="609">
        <v>115</v>
      </c>
      <c r="Q32" s="609">
        <f t="shared" ref="Q32:S32" si="21">Q26</f>
        <v>81</v>
      </c>
      <c r="R32" s="609">
        <v>139</v>
      </c>
      <c r="S32" s="609">
        <f t="shared" si="21"/>
        <v>220</v>
      </c>
      <c r="T32" s="609">
        <f t="shared" ref="T32:U32" si="22">T26</f>
        <v>151</v>
      </c>
      <c r="U32" s="609">
        <f t="shared" si="22"/>
        <v>371</v>
      </c>
      <c r="V32" s="600"/>
      <c r="W32" s="569">
        <v>5</v>
      </c>
      <c r="X32" s="441">
        <f t="shared" si="0"/>
        <v>5</v>
      </c>
      <c r="Y32" s="441">
        <v>10</v>
      </c>
      <c r="Z32" s="441">
        <f t="shared" si="0"/>
        <v>6</v>
      </c>
      <c r="AA32" s="424">
        <v>16</v>
      </c>
      <c r="AB32" s="441">
        <f t="shared" si="0"/>
        <v>-11.341000000000001</v>
      </c>
      <c r="AC32" s="29">
        <v>4.6589999999999998</v>
      </c>
      <c r="AD32" s="483"/>
      <c r="AE32" s="107">
        <v>6</v>
      </c>
      <c r="AF32" s="441">
        <f t="shared" si="1"/>
        <v>7</v>
      </c>
      <c r="AG32" s="441">
        <v>13</v>
      </c>
      <c r="AH32" s="441">
        <f t="shared" si="2"/>
        <v>7</v>
      </c>
      <c r="AI32" s="441">
        <v>20</v>
      </c>
      <c r="AJ32" s="408">
        <f t="shared" si="3"/>
        <v>6</v>
      </c>
      <c r="AK32" s="29">
        <v>26</v>
      </c>
      <c r="AL32" s="9"/>
      <c r="AM32" s="107">
        <v>0</v>
      </c>
      <c r="AN32" s="441">
        <v>0</v>
      </c>
      <c r="AO32" s="441">
        <v>0</v>
      </c>
      <c r="AP32" s="441">
        <v>5</v>
      </c>
      <c r="AQ32" s="441">
        <v>5</v>
      </c>
      <c r="AR32" s="441">
        <f t="shared" si="4"/>
        <v>1</v>
      </c>
      <c r="AS32" s="106">
        <v>6</v>
      </c>
      <c r="AT32" s="9"/>
      <c r="AU32" s="446">
        <v>0</v>
      </c>
      <c r="AV32" s="441">
        <v>0</v>
      </c>
      <c r="AW32" s="441">
        <v>0</v>
      </c>
      <c r="AX32" s="441">
        <v>0</v>
      </c>
      <c r="AY32" s="441">
        <v>0</v>
      </c>
      <c r="AZ32" s="441">
        <v>0</v>
      </c>
      <c r="BA32" s="106">
        <v>0</v>
      </c>
      <c r="BB32" s="9"/>
      <c r="BC32" s="107">
        <v>0</v>
      </c>
      <c r="BD32" s="105">
        <v>-1</v>
      </c>
      <c r="BE32" s="105">
        <v>-1</v>
      </c>
      <c r="BF32" s="105">
        <v>0</v>
      </c>
      <c r="BG32" s="105">
        <v>-1</v>
      </c>
      <c r="BH32" s="105">
        <v>0</v>
      </c>
      <c r="BI32" s="106">
        <v>-1</v>
      </c>
      <c r="BJ32" s="9"/>
      <c r="BK32" s="107">
        <v>0</v>
      </c>
      <c r="BL32" s="105">
        <v>0</v>
      </c>
      <c r="BM32" s="105">
        <v>0</v>
      </c>
      <c r="BN32" s="105">
        <v>0</v>
      </c>
      <c r="BO32" s="105">
        <v>0</v>
      </c>
      <c r="BP32" s="105">
        <v>0</v>
      </c>
      <c r="BQ32" s="106">
        <v>0</v>
      </c>
      <c r="BR32" s="9"/>
      <c r="BS32" s="107">
        <v>0</v>
      </c>
      <c r="BT32" s="105">
        <v>0</v>
      </c>
      <c r="BU32" s="105">
        <v>0</v>
      </c>
      <c r="BV32" s="105">
        <v>0</v>
      </c>
      <c r="BW32" s="105">
        <v>0</v>
      </c>
      <c r="BX32" s="105">
        <v>0</v>
      </c>
      <c r="BY32" s="106">
        <v>0</v>
      </c>
      <c r="BZ32" s="9"/>
      <c r="CA32" s="107">
        <v>-1</v>
      </c>
      <c r="CB32" s="105">
        <v>0</v>
      </c>
      <c r="CC32" s="105">
        <v>-1</v>
      </c>
      <c r="CD32" s="105">
        <v>-1</v>
      </c>
      <c r="CE32" s="105">
        <v>-2</v>
      </c>
      <c r="CF32" s="105">
        <v>2</v>
      </c>
      <c r="CG32" s="106">
        <v>0</v>
      </c>
      <c r="CH32" s="105"/>
      <c r="CI32" s="107">
        <v>1</v>
      </c>
      <c r="CJ32" s="105">
        <v>-2</v>
      </c>
      <c r="CK32" s="105">
        <v>-1</v>
      </c>
      <c r="CL32" s="105">
        <v>6</v>
      </c>
      <c r="CM32" s="105">
        <v>5</v>
      </c>
      <c r="CN32" s="105">
        <v>8</v>
      </c>
      <c r="CO32" s="106">
        <v>13</v>
      </c>
      <c r="CP32" s="109"/>
      <c r="CQ32" s="107">
        <v>-1</v>
      </c>
      <c r="CR32" s="105">
        <v>-1</v>
      </c>
      <c r="CS32" s="105">
        <v>-2</v>
      </c>
      <c r="CT32" s="105">
        <v>-1</v>
      </c>
      <c r="CU32" s="105">
        <v>-3</v>
      </c>
      <c r="CV32" s="105">
        <v>1</v>
      </c>
      <c r="CW32" s="106">
        <v>-2</v>
      </c>
      <c r="CX32" s="109"/>
      <c r="CY32" s="107">
        <v>-1</v>
      </c>
      <c r="CZ32" s="105">
        <v>7</v>
      </c>
      <c r="DA32" s="105">
        <v>6</v>
      </c>
      <c r="DB32" s="105">
        <v>5</v>
      </c>
      <c r="DC32" s="105">
        <v>11</v>
      </c>
      <c r="DD32" s="105">
        <v>11</v>
      </c>
      <c r="DE32" s="106">
        <v>22</v>
      </c>
      <c r="DF32" s="109"/>
      <c r="DG32" s="107">
        <v>-1</v>
      </c>
      <c r="DH32" s="105">
        <v>-2</v>
      </c>
      <c r="DI32" s="105">
        <v>-3</v>
      </c>
      <c r="DJ32" s="105">
        <v>-1</v>
      </c>
      <c r="DK32" s="105">
        <v>-4</v>
      </c>
      <c r="DL32" s="105">
        <v>2</v>
      </c>
      <c r="DM32" s="106">
        <v>-2</v>
      </c>
    </row>
    <row r="33" spans="1:117" outlineLevel="1" x14ac:dyDescent="0.25">
      <c r="A33" s="95" t="s">
        <v>95</v>
      </c>
      <c r="B33" s="42" t="s">
        <v>20</v>
      </c>
      <c r="C33" s="9"/>
      <c r="D33" s="9"/>
      <c r="E33" s="740">
        <f>E27</f>
        <v>2116.9749999999999</v>
      </c>
      <c r="F33" s="9"/>
      <c r="G33" s="569">
        <f>G27</f>
        <v>1915.4590000000001</v>
      </c>
      <c r="H33" s="609">
        <v>1797</v>
      </c>
      <c r="I33" s="609">
        <f t="shared" ref="I33" si="23">I27</f>
        <v>4033.6880000000001</v>
      </c>
      <c r="J33" s="609">
        <v>1816</v>
      </c>
      <c r="K33" s="609">
        <f t="shared" ref="K33:M33" si="24">K27</f>
        <v>6186.4930000000004</v>
      </c>
      <c r="L33" s="609">
        <f t="shared" si="24"/>
        <v>2156.1280000000002</v>
      </c>
      <c r="M33" s="623">
        <f t="shared" si="24"/>
        <v>8342.6209999999992</v>
      </c>
      <c r="N33" s="9"/>
      <c r="O33" s="569">
        <f>O27</f>
        <v>1700</v>
      </c>
      <c r="P33" s="609">
        <v>1797</v>
      </c>
      <c r="Q33" s="609">
        <f t="shared" ref="Q33:S33" si="25">Q27</f>
        <v>3497</v>
      </c>
      <c r="R33" s="609">
        <v>1816</v>
      </c>
      <c r="S33" s="609">
        <f t="shared" si="25"/>
        <v>5313</v>
      </c>
      <c r="T33" s="609">
        <f t="shared" ref="T33:U33" si="26">T27</f>
        <v>1808</v>
      </c>
      <c r="U33" s="609">
        <f t="shared" si="26"/>
        <v>7121</v>
      </c>
      <c r="V33" s="600"/>
      <c r="W33" s="569">
        <v>1649</v>
      </c>
      <c r="X33" s="441">
        <f t="shared" si="0"/>
        <v>1723</v>
      </c>
      <c r="Y33" s="441">
        <v>3372</v>
      </c>
      <c r="Z33" s="441">
        <f t="shared" si="0"/>
        <v>1706</v>
      </c>
      <c r="AA33" s="424">
        <v>5078</v>
      </c>
      <c r="AB33" s="441">
        <f t="shared" si="0"/>
        <v>1727.7420000000002</v>
      </c>
      <c r="AC33" s="29">
        <v>6805.7420000000002</v>
      </c>
      <c r="AD33" s="483"/>
      <c r="AE33" s="107">
        <v>1267</v>
      </c>
      <c r="AF33" s="441">
        <f t="shared" si="1"/>
        <v>1278</v>
      </c>
      <c r="AG33" s="441">
        <v>2545</v>
      </c>
      <c r="AH33" s="441">
        <f t="shared" si="2"/>
        <v>1402</v>
      </c>
      <c r="AI33" s="441">
        <v>3947</v>
      </c>
      <c r="AJ33" s="408">
        <f t="shared" si="3"/>
        <v>1571</v>
      </c>
      <c r="AK33" s="29">
        <v>5518</v>
      </c>
      <c r="AL33" s="9"/>
      <c r="AM33" s="107">
        <v>1462</v>
      </c>
      <c r="AN33" s="441">
        <v>1353</v>
      </c>
      <c r="AO33" s="441">
        <v>2815</v>
      </c>
      <c r="AP33" s="441">
        <v>1313</v>
      </c>
      <c r="AQ33" s="441">
        <v>4128</v>
      </c>
      <c r="AR33" s="441">
        <f t="shared" si="4"/>
        <v>1327</v>
      </c>
      <c r="AS33" s="106">
        <v>5455</v>
      </c>
      <c r="AT33" s="9"/>
      <c r="AU33" s="446">
        <v>1467</v>
      </c>
      <c r="AV33" s="441">
        <v>1415</v>
      </c>
      <c r="AW33" s="441">
        <v>2882</v>
      </c>
      <c r="AX33" s="441">
        <v>1418</v>
      </c>
      <c r="AY33" s="441">
        <v>4300</v>
      </c>
      <c r="AZ33" s="441">
        <v>1430</v>
      </c>
      <c r="BA33" s="106">
        <v>5730</v>
      </c>
      <c r="BB33" s="9"/>
      <c r="BC33" s="107">
        <v>1584</v>
      </c>
      <c r="BD33" s="105">
        <v>1614</v>
      </c>
      <c r="BE33" s="105">
        <v>3198</v>
      </c>
      <c r="BF33" s="105">
        <v>1579</v>
      </c>
      <c r="BG33" s="105">
        <v>4777</v>
      </c>
      <c r="BH33" s="105">
        <v>1518</v>
      </c>
      <c r="BI33" s="106">
        <v>6295</v>
      </c>
      <c r="BJ33" s="9"/>
      <c r="BK33" s="107">
        <v>1630</v>
      </c>
      <c r="BL33" s="105">
        <v>1515</v>
      </c>
      <c r="BM33" s="105">
        <v>3145</v>
      </c>
      <c r="BN33" s="105">
        <v>1515</v>
      </c>
      <c r="BO33" s="105">
        <v>4660</v>
      </c>
      <c r="BP33" s="105">
        <v>1553</v>
      </c>
      <c r="BQ33" s="106">
        <v>6213</v>
      </c>
      <c r="BR33" s="9"/>
      <c r="BS33" s="107">
        <v>1711</v>
      </c>
      <c r="BT33" s="105">
        <v>1715</v>
      </c>
      <c r="BU33" s="105">
        <v>3426</v>
      </c>
      <c r="BV33" s="105">
        <v>1768</v>
      </c>
      <c r="BW33" s="105">
        <v>5194</v>
      </c>
      <c r="BX33" s="105">
        <v>1802</v>
      </c>
      <c r="BY33" s="106">
        <v>6996</v>
      </c>
      <c r="BZ33" s="9"/>
      <c r="CA33" s="107">
        <v>1687</v>
      </c>
      <c r="CB33" s="105">
        <v>1682</v>
      </c>
      <c r="CC33" s="105">
        <v>3369</v>
      </c>
      <c r="CD33" s="105">
        <v>1677</v>
      </c>
      <c r="CE33" s="105">
        <v>5046</v>
      </c>
      <c r="CF33" s="105">
        <v>1675</v>
      </c>
      <c r="CG33" s="106">
        <v>6721</v>
      </c>
      <c r="CH33" s="105"/>
      <c r="CI33" s="107">
        <v>1740</v>
      </c>
      <c r="CJ33" s="105">
        <v>1747</v>
      </c>
      <c r="CK33" s="105">
        <v>3487</v>
      </c>
      <c r="CL33" s="105">
        <v>1763</v>
      </c>
      <c r="CM33" s="105">
        <v>5250</v>
      </c>
      <c r="CN33" s="105">
        <v>1746</v>
      </c>
      <c r="CO33" s="106">
        <v>6996</v>
      </c>
      <c r="CP33" s="109"/>
      <c r="CQ33" s="107">
        <v>1796</v>
      </c>
      <c r="CR33" s="105">
        <v>1819</v>
      </c>
      <c r="CS33" s="105">
        <v>3615</v>
      </c>
      <c r="CT33" s="105">
        <v>1820</v>
      </c>
      <c r="CU33" s="105">
        <v>5435</v>
      </c>
      <c r="CV33" s="105">
        <v>1784</v>
      </c>
      <c r="CW33" s="106">
        <v>7219</v>
      </c>
      <c r="CX33" s="109"/>
      <c r="CY33" s="107">
        <v>1834</v>
      </c>
      <c r="CZ33" s="105">
        <v>1890</v>
      </c>
      <c r="DA33" s="105">
        <v>3724</v>
      </c>
      <c r="DB33" s="105">
        <v>1872</v>
      </c>
      <c r="DC33" s="105">
        <v>5596</v>
      </c>
      <c r="DD33" s="105">
        <v>1836</v>
      </c>
      <c r="DE33" s="106">
        <v>7432</v>
      </c>
      <c r="DF33" s="109"/>
      <c r="DG33" s="107">
        <v>578</v>
      </c>
      <c r="DH33" s="105">
        <v>1903</v>
      </c>
      <c r="DI33" s="105">
        <v>2481</v>
      </c>
      <c r="DJ33" s="105">
        <v>1908</v>
      </c>
      <c r="DK33" s="105">
        <v>4389</v>
      </c>
      <c r="DL33" s="105">
        <v>1883</v>
      </c>
      <c r="DM33" s="106">
        <v>6272</v>
      </c>
    </row>
    <row r="34" spans="1:117" outlineLevel="1" x14ac:dyDescent="0.25">
      <c r="A34" s="95" t="s">
        <v>96</v>
      </c>
      <c r="B34" s="42" t="s">
        <v>55</v>
      </c>
      <c r="C34" s="9"/>
      <c r="D34" s="9"/>
      <c r="E34" s="742">
        <v>2736</v>
      </c>
      <c r="F34" s="9"/>
      <c r="G34" s="624">
        <v>2557</v>
      </c>
      <c r="H34" s="625">
        <v>2682</v>
      </c>
      <c r="I34" s="626">
        <v>5239</v>
      </c>
      <c r="J34" s="625">
        <v>2760</v>
      </c>
      <c r="K34" s="626">
        <v>7999</v>
      </c>
      <c r="L34" s="626">
        <v>2848</v>
      </c>
      <c r="M34" s="627">
        <v>10847</v>
      </c>
      <c r="N34" s="9"/>
      <c r="O34" s="569">
        <v>2145</v>
      </c>
      <c r="P34" s="609">
        <v>2252</v>
      </c>
      <c r="Q34" s="441">
        <v>4397</v>
      </c>
      <c r="R34" s="609">
        <v>2328</v>
      </c>
      <c r="S34" s="441">
        <v>6725</v>
      </c>
      <c r="T34" s="441">
        <f>U34-S34</f>
        <v>2490</v>
      </c>
      <c r="U34" s="441">
        <v>9215</v>
      </c>
      <c r="V34" s="600"/>
      <c r="W34" s="569">
        <v>1978</v>
      </c>
      <c r="X34" s="441">
        <f t="shared" si="0"/>
        <v>2063</v>
      </c>
      <c r="Y34" s="441">
        <v>4041</v>
      </c>
      <c r="Z34" s="441">
        <f t="shared" si="0"/>
        <v>2085</v>
      </c>
      <c r="AA34" s="424">
        <v>6126</v>
      </c>
      <c r="AB34" s="441">
        <f t="shared" si="0"/>
        <v>2152.7549999999992</v>
      </c>
      <c r="AC34" s="29">
        <v>8278.7549999999992</v>
      </c>
      <c r="AD34" s="483"/>
      <c r="AE34" s="107">
        <v>2185</v>
      </c>
      <c r="AF34" s="441">
        <f t="shared" si="1"/>
        <v>1862</v>
      </c>
      <c r="AG34" s="441">
        <v>4047</v>
      </c>
      <c r="AH34" s="441">
        <f t="shared" si="2"/>
        <v>1895</v>
      </c>
      <c r="AI34" s="441">
        <f>6065-AI35</f>
        <v>5942</v>
      </c>
      <c r="AJ34" s="408">
        <f t="shared" si="3"/>
        <v>1936</v>
      </c>
      <c r="AK34" s="29">
        <f>8041-163</f>
        <v>7878</v>
      </c>
      <c r="AL34" s="9"/>
      <c r="AM34" s="107">
        <v>1721</v>
      </c>
      <c r="AN34" s="441">
        <v>2016</v>
      </c>
      <c r="AO34" s="441">
        <v>3737</v>
      </c>
      <c r="AP34" s="441">
        <v>1965</v>
      </c>
      <c r="AQ34" s="441">
        <v>5702</v>
      </c>
      <c r="AR34" s="441">
        <f t="shared" si="4"/>
        <v>3026</v>
      </c>
      <c r="AS34" s="106">
        <v>8728</v>
      </c>
      <c r="AT34" s="9"/>
      <c r="AU34" s="446">
        <v>1631</v>
      </c>
      <c r="AV34" s="441">
        <v>1641</v>
      </c>
      <c r="AW34" s="441">
        <v>3272</v>
      </c>
      <c r="AX34" s="441">
        <v>1697</v>
      </c>
      <c r="AY34" s="441">
        <v>4969</v>
      </c>
      <c r="AZ34" s="441">
        <v>1741</v>
      </c>
      <c r="BA34" s="106">
        <v>6710</v>
      </c>
      <c r="BB34" s="9"/>
      <c r="BC34" s="107">
        <v>1622</v>
      </c>
      <c r="BD34" s="105">
        <v>1580</v>
      </c>
      <c r="BE34" s="105">
        <v>3202</v>
      </c>
      <c r="BF34" s="105">
        <v>1616</v>
      </c>
      <c r="BG34" s="105">
        <v>4818</v>
      </c>
      <c r="BH34" s="105">
        <v>1641</v>
      </c>
      <c r="BI34" s="106">
        <v>6459</v>
      </c>
      <c r="BJ34" s="9"/>
      <c r="BK34" s="107">
        <v>1516</v>
      </c>
      <c r="BL34" s="105">
        <v>1568</v>
      </c>
      <c r="BM34" s="105">
        <v>3084</v>
      </c>
      <c r="BN34" s="105">
        <v>1572</v>
      </c>
      <c r="BO34" s="105">
        <v>4656</v>
      </c>
      <c r="BP34" s="105">
        <v>1573</v>
      </c>
      <c r="BQ34" s="106">
        <v>6229</v>
      </c>
      <c r="BR34" s="9"/>
      <c r="BS34" s="107">
        <v>2045</v>
      </c>
      <c r="BT34" s="105">
        <v>1465</v>
      </c>
      <c r="BU34" s="105">
        <v>3510</v>
      </c>
      <c r="BV34" s="105">
        <v>1452</v>
      </c>
      <c r="BW34" s="105">
        <v>4962</v>
      </c>
      <c r="BX34" s="105">
        <v>1466</v>
      </c>
      <c r="BY34" s="106">
        <v>6428</v>
      </c>
      <c r="BZ34" s="9"/>
      <c r="CA34" s="107">
        <v>2237</v>
      </c>
      <c r="CB34" s="105">
        <v>2273</v>
      </c>
      <c r="CC34" s="105">
        <v>4510</v>
      </c>
      <c r="CD34" s="105">
        <v>2268</v>
      </c>
      <c r="CE34" s="105">
        <v>6778</v>
      </c>
      <c r="CF34" s="105">
        <v>2301</v>
      </c>
      <c r="CG34" s="106">
        <v>9079</v>
      </c>
      <c r="CH34" s="105"/>
      <c r="CI34" s="107">
        <v>2189</v>
      </c>
      <c r="CJ34" s="105">
        <v>2190</v>
      </c>
      <c r="CK34" s="105">
        <v>4379</v>
      </c>
      <c r="CL34" s="105">
        <v>2183</v>
      </c>
      <c r="CM34" s="105">
        <v>6562</v>
      </c>
      <c r="CN34" s="105">
        <v>2204</v>
      </c>
      <c r="CO34" s="106">
        <v>8766</v>
      </c>
      <c r="CP34" s="109"/>
      <c r="CQ34" s="107">
        <v>2097</v>
      </c>
      <c r="CR34" s="105">
        <v>2114</v>
      </c>
      <c r="CS34" s="116">
        <v>4211</v>
      </c>
      <c r="CT34" s="105">
        <v>2152</v>
      </c>
      <c r="CU34" s="105">
        <v>6363</v>
      </c>
      <c r="CV34" s="105">
        <v>2165</v>
      </c>
      <c r="CW34" s="117">
        <v>8528</v>
      </c>
      <c r="CX34" s="109"/>
      <c r="CY34" s="107">
        <v>1979</v>
      </c>
      <c r="CZ34" s="105">
        <v>2080</v>
      </c>
      <c r="DA34" s="116">
        <v>4059</v>
      </c>
      <c r="DB34" s="105">
        <v>2017</v>
      </c>
      <c r="DC34" s="105">
        <v>6076</v>
      </c>
      <c r="DD34" s="105">
        <v>2059</v>
      </c>
      <c r="DE34" s="117">
        <v>8135</v>
      </c>
      <c r="DF34" s="109"/>
      <c r="DG34" s="107">
        <v>2104</v>
      </c>
      <c r="DH34" s="105">
        <v>3420</v>
      </c>
      <c r="DI34" s="116">
        <v>5524</v>
      </c>
      <c r="DJ34" s="105">
        <v>1909</v>
      </c>
      <c r="DK34" s="105">
        <v>7433</v>
      </c>
      <c r="DL34" s="105">
        <v>1940</v>
      </c>
      <c r="DM34" s="117">
        <v>9373</v>
      </c>
    </row>
    <row r="35" spans="1:117" s="158" customFormat="1" outlineLevel="1" x14ac:dyDescent="0.25">
      <c r="A35" s="95" t="s">
        <v>220</v>
      </c>
      <c r="B35" s="42" t="s">
        <v>56</v>
      </c>
      <c r="C35" s="9"/>
      <c r="D35" s="9"/>
      <c r="E35" s="743">
        <v>48</v>
      </c>
      <c r="F35" s="9"/>
      <c r="G35" s="628">
        <v>21</v>
      </c>
      <c r="H35" s="629">
        <v>21</v>
      </c>
      <c r="I35" s="630">
        <v>42</v>
      </c>
      <c r="J35" s="629">
        <v>21</v>
      </c>
      <c r="K35" s="630">
        <v>63</v>
      </c>
      <c r="L35" s="630">
        <v>41</v>
      </c>
      <c r="M35" s="631">
        <v>104</v>
      </c>
      <c r="N35" s="9"/>
      <c r="O35" s="570">
        <v>8</v>
      </c>
      <c r="P35" s="611">
        <v>9</v>
      </c>
      <c r="Q35" s="460">
        <v>17</v>
      </c>
      <c r="R35" s="611">
        <v>12</v>
      </c>
      <c r="S35" s="460">
        <v>29</v>
      </c>
      <c r="T35" s="460">
        <f>U35-S35</f>
        <v>21</v>
      </c>
      <c r="U35" s="460">
        <v>50</v>
      </c>
      <c r="V35" s="600"/>
      <c r="W35" s="570">
        <v>41</v>
      </c>
      <c r="X35" s="460">
        <f t="shared" si="0"/>
        <v>40</v>
      </c>
      <c r="Y35" s="460">
        <v>81</v>
      </c>
      <c r="Z35" s="460">
        <f t="shared" si="0"/>
        <v>41</v>
      </c>
      <c r="AA35" s="425">
        <v>122</v>
      </c>
      <c r="AB35" s="460">
        <f t="shared" si="0"/>
        <v>40.245000000000005</v>
      </c>
      <c r="AC35" s="162">
        <v>162.245</v>
      </c>
      <c r="AD35" s="483"/>
      <c r="AE35" s="154">
        <v>41</v>
      </c>
      <c r="AF35" s="460">
        <f t="shared" si="1"/>
        <v>40.783000000000001</v>
      </c>
      <c r="AG35" s="460">
        <v>81.783000000000001</v>
      </c>
      <c r="AH35" s="460">
        <f t="shared" si="2"/>
        <v>41.216999999999999</v>
      </c>
      <c r="AI35" s="460">
        <v>123</v>
      </c>
      <c r="AJ35" s="409">
        <f t="shared" si="3"/>
        <v>40</v>
      </c>
      <c r="AK35" s="162">
        <v>163</v>
      </c>
      <c r="AL35" s="9"/>
      <c r="AM35" s="154">
        <v>40</v>
      </c>
      <c r="AN35" s="460">
        <v>40</v>
      </c>
      <c r="AO35" s="460">
        <v>80</v>
      </c>
      <c r="AP35" s="460">
        <v>40</v>
      </c>
      <c r="AQ35" s="460">
        <v>120</v>
      </c>
      <c r="AR35" s="460">
        <f t="shared" si="4"/>
        <v>40</v>
      </c>
      <c r="AS35" s="156">
        <v>160</v>
      </c>
      <c r="AT35" s="9"/>
      <c r="AU35" s="446">
        <v>24</v>
      </c>
      <c r="AV35" s="460">
        <v>24</v>
      </c>
      <c r="AW35" s="460">
        <v>48</v>
      </c>
      <c r="AX35" s="460">
        <v>23</v>
      </c>
      <c r="AY35" s="460">
        <v>71</v>
      </c>
      <c r="AZ35" s="460">
        <v>24</v>
      </c>
      <c r="BA35" s="156">
        <v>95</v>
      </c>
      <c r="BB35" s="9"/>
      <c r="BC35" s="154">
        <v>22</v>
      </c>
      <c r="BD35" s="155">
        <v>21</v>
      </c>
      <c r="BE35" s="155">
        <v>43</v>
      </c>
      <c r="BF35" s="155">
        <v>22</v>
      </c>
      <c r="BG35" s="155">
        <v>65</v>
      </c>
      <c r="BH35" s="155">
        <v>21</v>
      </c>
      <c r="BI35" s="156">
        <v>86</v>
      </c>
      <c r="BJ35" s="9"/>
      <c r="BK35" s="154">
        <v>86</v>
      </c>
      <c r="BL35" s="155">
        <v>24</v>
      </c>
      <c r="BM35" s="155">
        <v>110</v>
      </c>
      <c r="BN35" s="155">
        <v>23</v>
      </c>
      <c r="BO35" s="155">
        <v>133</v>
      </c>
      <c r="BP35" s="155">
        <v>22</v>
      </c>
      <c r="BQ35" s="156">
        <v>155</v>
      </c>
      <c r="BR35" s="9"/>
      <c r="BS35" s="154">
        <v>85</v>
      </c>
      <c r="BT35" s="155">
        <v>84</v>
      </c>
      <c r="BU35" s="155">
        <v>169</v>
      </c>
      <c r="BV35" s="155">
        <v>107</v>
      </c>
      <c r="BW35" s="155">
        <v>276</v>
      </c>
      <c r="BX35" s="155">
        <v>117</v>
      </c>
      <c r="BY35" s="156">
        <v>393</v>
      </c>
      <c r="BZ35" s="9"/>
      <c r="CA35" s="154">
        <v>86</v>
      </c>
      <c r="CB35" s="155">
        <v>86</v>
      </c>
      <c r="CC35" s="155">
        <v>172</v>
      </c>
      <c r="CD35" s="155">
        <v>85</v>
      </c>
      <c r="CE35" s="155">
        <v>257</v>
      </c>
      <c r="CF35" s="155">
        <v>85</v>
      </c>
      <c r="CG35" s="156">
        <v>342</v>
      </c>
      <c r="CH35" s="155"/>
      <c r="CI35" s="154">
        <v>88</v>
      </c>
      <c r="CJ35" s="155">
        <v>87</v>
      </c>
      <c r="CK35" s="155">
        <v>175</v>
      </c>
      <c r="CL35" s="155">
        <v>86</v>
      </c>
      <c r="CM35" s="155">
        <v>261</v>
      </c>
      <c r="CN35" s="155">
        <v>87</v>
      </c>
      <c r="CO35" s="156">
        <v>348</v>
      </c>
      <c r="CP35" s="159"/>
      <c r="CQ35" s="154">
        <v>90</v>
      </c>
      <c r="CR35" s="155">
        <v>89</v>
      </c>
      <c r="CS35" s="190">
        <v>179</v>
      </c>
      <c r="CT35" s="155">
        <v>89</v>
      </c>
      <c r="CU35" s="155">
        <v>268</v>
      </c>
      <c r="CV35" s="155">
        <v>88</v>
      </c>
      <c r="CW35" s="191">
        <v>356</v>
      </c>
      <c r="CX35" s="159"/>
      <c r="CY35" s="154">
        <v>94</v>
      </c>
      <c r="CZ35" s="155">
        <v>93</v>
      </c>
      <c r="DA35" s="190">
        <v>187</v>
      </c>
      <c r="DB35" s="155">
        <v>91</v>
      </c>
      <c r="DC35" s="155">
        <v>278</v>
      </c>
      <c r="DD35" s="155">
        <v>91</v>
      </c>
      <c r="DE35" s="191">
        <v>369</v>
      </c>
      <c r="DF35" s="159"/>
      <c r="DG35" s="154">
        <v>34</v>
      </c>
      <c r="DH35" s="155">
        <v>102</v>
      </c>
      <c r="DI35" s="190">
        <v>136</v>
      </c>
      <c r="DJ35" s="155">
        <v>98</v>
      </c>
      <c r="DK35" s="155">
        <v>234</v>
      </c>
      <c r="DL35" s="155">
        <v>96</v>
      </c>
      <c r="DM35" s="191">
        <v>330</v>
      </c>
    </row>
    <row r="36" spans="1:117" s="100" customFormat="1" x14ac:dyDescent="0.25">
      <c r="A36" s="95" t="s">
        <v>57</v>
      </c>
      <c r="B36" s="88" t="s">
        <v>57</v>
      </c>
      <c r="C36" s="9"/>
      <c r="D36" s="9"/>
      <c r="E36" s="706">
        <f>SUM(E29:E35)</f>
        <v>5066.4209999999975</v>
      </c>
      <c r="F36" s="9"/>
      <c r="G36" s="567">
        <f>SUM(G29:G35)</f>
        <v>1646.5839999999978</v>
      </c>
      <c r="H36" s="608">
        <f t="shared" ref="H36:M36" si="27">SUM(H29:H35)</f>
        <v>-7530.1450000000023</v>
      </c>
      <c r="I36" s="608">
        <f t="shared" si="27"/>
        <v>4484.431000000005</v>
      </c>
      <c r="J36" s="608">
        <f t="shared" si="27"/>
        <v>13478.326000000001</v>
      </c>
      <c r="K36" s="608">
        <f t="shared" si="27"/>
        <v>8470.2039999999943</v>
      </c>
      <c r="L36" s="608">
        <f t="shared" si="27"/>
        <v>5912.4849999999997</v>
      </c>
      <c r="M36" s="622">
        <f t="shared" si="27"/>
        <v>14382.688999999991</v>
      </c>
      <c r="N36" s="9"/>
      <c r="O36" s="567">
        <f>SUM(O29:O35)</f>
        <v>6265</v>
      </c>
      <c r="P36" s="608">
        <f t="shared" ref="P36:Q36" si="28">SUM(P29:P35)</f>
        <v>7621</v>
      </c>
      <c r="Q36" s="608">
        <f t="shared" si="28"/>
        <v>13887</v>
      </c>
      <c r="R36" s="608">
        <f t="shared" ref="R36:S36" si="29">SUM(R29:R35)</f>
        <v>7751</v>
      </c>
      <c r="S36" s="608">
        <f t="shared" si="29"/>
        <v>21638</v>
      </c>
      <c r="T36" s="608">
        <f t="shared" ref="T36:U36" si="30">SUM(T29:T35)</f>
        <v>-4864</v>
      </c>
      <c r="U36" s="608">
        <f t="shared" si="30"/>
        <v>16774</v>
      </c>
      <c r="V36" s="600"/>
      <c r="W36" s="567">
        <v>7018</v>
      </c>
      <c r="X36" s="442">
        <f t="shared" si="0"/>
        <v>7682</v>
      </c>
      <c r="Y36" s="442">
        <v>14700</v>
      </c>
      <c r="Z36" s="442">
        <f t="shared" si="0"/>
        <v>6817</v>
      </c>
      <c r="AA36" s="423">
        <v>21517</v>
      </c>
      <c r="AB36" s="442">
        <f t="shared" si="0"/>
        <v>8353.7390000000014</v>
      </c>
      <c r="AC36" s="21">
        <v>29870.739000000001</v>
      </c>
      <c r="AD36" s="483"/>
      <c r="AE36" s="108">
        <v>5471</v>
      </c>
      <c r="AF36" s="442">
        <f t="shared" si="1"/>
        <v>7189</v>
      </c>
      <c r="AG36" s="442">
        <v>12660</v>
      </c>
      <c r="AH36" s="442">
        <f t="shared" si="2"/>
        <v>7357</v>
      </c>
      <c r="AI36" s="442">
        <f>AI29+SUM(AI31:AI35)</f>
        <v>20017</v>
      </c>
      <c r="AJ36" s="406">
        <f t="shared" si="3"/>
        <v>4580</v>
      </c>
      <c r="AK36" s="21">
        <v>24597</v>
      </c>
      <c r="AL36" s="9"/>
      <c r="AM36" s="108">
        <v>4717</v>
      </c>
      <c r="AN36" s="442">
        <v>4513</v>
      </c>
      <c r="AO36" s="442">
        <v>9230</v>
      </c>
      <c r="AP36" s="442">
        <v>6626</v>
      </c>
      <c r="AQ36" s="442">
        <v>15856</v>
      </c>
      <c r="AR36" s="442">
        <f t="shared" si="4"/>
        <v>4851</v>
      </c>
      <c r="AS36" s="104">
        <v>20707</v>
      </c>
      <c r="AT36" s="9"/>
      <c r="AU36" s="446">
        <v>3284</v>
      </c>
      <c r="AV36" s="442">
        <v>3084</v>
      </c>
      <c r="AW36" s="442">
        <v>6368</v>
      </c>
      <c r="AX36" s="442">
        <v>1197</v>
      </c>
      <c r="AY36" s="442">
        <v>7565</v>
      </c>
      <c r="AZ36" s="442">
        <v>1233</v>
      </c>
      <c r="BA36" s="104">
        <v>8798</v>
      </c>
      <c r="BB36" s="9"/>
      <c r="BC36" s="108">
        <v>3102</v>
      </c>
      <c r="BD36" s="103">
        <v>3805</v>
      </c>
      <c r="BE36" s="103">
        <v>6907</v>
      </c>
      <c r="BF36" s="103">
        <v>4299</v>
      </c>
      <c r="BG36" s="103">
        <v>11206</v>
      </c>
      <c r="BH36" s="103">
        <v>3613</v>
      </c>
      <c r="BI36" s="104">
        <v>14819</v>
      </c>
      <c r="BJ36" s="9"/>
      <c r="BK36" s="108">
        <v>3188</v>
      </c>
      <c r="BL36" s="103">
        <v>4517</v>
      </c>
      <c r="BM36" s="103">
        <v>7705</v>
      </c>
      <c r="BN36" s="103">
        <v>3860</v>
      </c>
      <c r="BO36" s="103">
        <v>11565</v>
      </c>
      <c r="BP36" s="103">
        <v>2023</v>
      </c>
      <c r="BQ36" s="104">
        <v>13588</v>
      </c>
      <c r="BR36" s="9"/>
      <c r="BS36" s="108">
        <v>-6341</v>
      </c>
      <c r="BT36" s="103">
        <v>3310</v>
      </c>
      <c r="BU36" s="103">
        <v>-3031</v>
      </c>
      <c r="BV36" s="103">
        <v>3451</v>
      </c>
      <c r="BW36" s="103">
        <v>420</v>
      </c>
      <c r="BX36" s="103">
        <v>320</v>
      </c>
      <c r="BY36" s="104">
        <v>740</v>
      </c>
      <c r="BZ36" s="9"/>
      <c r="CA36" s="108">
        <v>2861</v>
      </c>
      <c r="CB36" s="103">
        <v>4624</v>
      </c>
      <c r="CC36" s="103">
        <v>7485</v>
      </c>
      <c r="CD36" s="103">
        <v>3119</v>
      </c>
      <c r="CE36" s="103">
        <v>10604</v>
      </c>
      <c r="CF36" s="103">
        <v>-14483</v>
      </c>
      <c r="CG36" s="104">
        <v>-3879</v>
      </c>
      <c r="CH36" s="103"/>
      <c r="CI36" s="108">
        <v>3938</v>
      </c>
      <c r="CJ36" s="103">
        <v>3900</v>
      </c>
      <c r="CK36" s="103">
        <v>7838</v>
      </c>
      <c r="CL36" s="103">
        <v>5435</v>
      </c>
      <c r="CM36" s="103">
        <v>13273</v>
      </c>
      <c r="CN36" s="103">
        <v>3241</v>
      </c>
      <c r="CO36" s="104">
        <v>16514</v>
      </c>
      <c r="CP36" s="109"/>
      <c r="CQ36" s="108">
        <v>3532</v>
      </c>
      <c r="CR36" s="103">
        <v>4699</v>
      </c>
      <c r="CS36" s="103">
        <v>8231</v>
      </c>
      <c r="CT36" s="103">
        <v>4327</v>
      </c>
      <c r="CU36" s="103">
        <v>12558</v>
      </c>
      <c r="CV36" s="103">
        <v>2807</v>
      </c>
      <c r="CW36" s="104">
        <v>15365</v>
      </c>
      <c r="CX36" s="109"/>
      <c r="CY36" s="108">
        <v>3585</v>
      </c>
      <c r="CZ36" s="103">
        <v>5217</v>
      </c>
      <c r="DA36" s="103">
        <v>8802</v>
      </c>
      <c r="DB36" s="103">
        <v>4723</v>
      </c>
      <c r="DC36" s="103">
        <v>13525</v>
      </c>
      <c r="DD36" s="103">
        <v>3484</v>
      </c>
      <c r="DE36" s="104">
        <v>17009</v>
      </c>
      <c r="DF36" s="109"/>
      <c r="DG36" s="108">
        <v>-2575</v>
      </c>
      <c r="DH36" s="103">
        <v>4274</v>
      </c>
      <c r="DI36" s="103">
        <v>1699</v>
      </c>
      <c r="DJ36" s="103">
        <v>3969</v>
      </c>
      <c r="DK36" s="103">
        <v>5668</v>
      </c>
      <c r="DL36" s="103">
        <v>3203</v>
      </c>
      <c r="DM36" s="104">
        <v>8871</v>
      </c>
    </row>
    <row r="37" spans="1:117" outlineLevel="1" x14ac:dyDescent="0.25">
      <c r="B37" s="42" t="s">
        <v>58</v>
      </c>
      <c r="C37" s="9"/>
      <c r="D37" s="9"/>
      <c r="E37" s="740"/>
      <c r="F37" s="9"/>
      <c r="G37" s="569"/>
      <c r="H37" s="441"/>
      <c r="I37" s="441"/>
      <c r="J37" s="441"/>
      <c r="K37" s="441"/>
      <c r="L37" s="441"/>
      <c r="M37" s="106"/>
      <c r="N37" s="9"/>
      <c r="O37" s="569"/>
      <c r="P37" s="441"/>
      <c r="Q37" s="441"/>
      <c r="R37" s="441"/>
      <c r="S37" s="441"/>
      <c r="T37" s="441"/>
      <c r="U37" s="441"/>
      <c r="V37" s="600"/>
      <c r="W37" s="569">
        <v>0</v>
      </c>
      <c r="X37" s="441">
        <f t="shared" si="0"/>
        <v>0</v>
      </c>
      <c r="Y37" s="441">
        <v>0</v>
      </c>
      <c r="Z37" s="441">
        <f t="shared" si="0"/>
        <v>0</v>
      </c>
      <c r="AA37" s="424"/>
      <c r="AB37" s="441">
        <f t="shared" si="0"/>
        <v>0</v>
      </c>
      <c r="AC37" s="29"/>
      <c r="AD37" s="483"/>
      <c r="AE37" s="107">
        <v>0</v>
      </c>
      <c r="AF37" s="441">
        <f t="shared" si="1"/>
        <v>0</v>
      </c>
      <c r="AG37" s="441"/>
      <c r="AH37" s="441"/>
      <c r="AI37" s="441"/>
      <c r="AJ37" s="408">
        <f t="shared" si="3"/>
        <v>0</v>
      </c>
      <c r="AK37" s="29">
        <v>0</v>
      </c>
      <c r="AL37" s="9"/>
      <c r="AM37" s="107">
        <v>0</v>
      </c>
      <c r="AN37" s="441">
        <v>0</v>
      </c>
      <c r="AO37" s="441">
        <v>0</v>
      </c>
      <c r="AP37" s="441">
        <v>0</v>
      </c>
      <c r="AQ37" s="441">
        <v>0</v>
      </c>
      <c r="AR37" s="441">
        <f t="shared" si="4"/>
        <v>0</v>
      </c>
      <c r="AS37" s="106">
        <v>0</v>
      </c>
      <c r="AT37" s="9"/>
      <c r="AU37" s="446">
        <v>0</v>
      </c>
      <c r="AV37" s="441">
        <v>0</v>
      </c>
      <c r="AW37" s="441">
        <v>0</v>
      </c>
      <c r="AX37" s="441">
        <v>0</v>
      </c>
      <c r="AY37" s="441">
        <v>0</v>
      </c>
      <c r="AZ37" s="441">
        <v>0</v>
      </c>
      <c r="BA37" s="106">
        <v>0</v>
      </c>
      <c r="BB37" s="9"/>
      <c r="BC37" s="107">
        <v>0</v>
      </c>
      <c r="BD37" s="105">
        <v>0</v>
      </c>
      <c r="BE37" s="105">
        <v>0</v>
      </c>
      <c r="BF37" s="105">
        <v>0</v>
      </c>
      <c r="BG37" s="105">
        <v>0</v>
      </c>
      <c r="BH37" s="105">
        <v>0</v>
      </c>
      <c r="BI37" s="106">
        <v>0</v>
      </c>
      <c r="BJ37" s="9"/>
      <c r="BK37" s="107">
        <v>49</v>
      </c>
      <c r="BL37" s="105">
        <v>-1</v>
      </c>
      <c r="BM37" s="105">
        <v>48</v>
      </c>
      <c r="BN37" s="105">
        <v>0</v>
      </c>
      <c r="BO37" s="105">
        <v>48</v>
      </c>
      <c r="BP37" s="105">
        <v>7</v>
      </c>
      <c r="BQ37" s="106">
        <v>55</v>
      </c>
      <c r="BR37" s="9"/>
      <c r="BS37" s="107">
        <v>-9</v>
      </c>
      <c r="BT37" s="105">
        <v>0</v>
      </c>
      <c r="BU37" s="105">
        <v>-9</v>
      </c>
      <c r="BV37" s="105">
        <v>0</v>
      </c>
      <c r="BW37" s="105">
        <v>-9</v>
      </c>
      <c r="BX37" s="105">
        <v>2</v>
      </c>
      <c r="BY37" s="106">
        <v>-7</v>
      </c>
      <c r="BZ37" s="9"/>
      <c r="CA37" s="107">
        <v>1</v>
      </c>
      <c r="CB37" s="105">
        <v>0</v>
      </c>
      <c r="CC37" s="105">
        <v>1</v>
      </c>
      <c r="CD37" s="105">
        <v>-1</v>
      </c>
      <c r="CE37" s="105">
        <v>0</v>
      </c>
      <c r="CF37" s="105">
        <v>5</v>
      </c>
      <c r="CG37" s="106">
        <v>5</v>
      </c>
      <c r="CH37" s="105"/>
      <c r="CI37" s="107">
        <v>0</v>
      </c>
      <c r="CJ37" s="105">
        <v>0</v>
      </c>
      <c r="CK37" s="105">
        <v>0</v>
      </c>
      <c r="CL37" s="105">
        <v>-183</v>
      </c>
      <c r="CM37" s="105">
        <v>-183</v>
      </c>
      <c r="CN37" s="105">
        <v>18</v>
      </c>
      <c r="CO37" s="106">
        <v>-165</v>
      </c>
      <c r="CP37" s="109"/>
      <c r="CQ37" s="107">
        <v>-12</v>
      </c>
      <c r="CR37" s="105">
        <v>51</v>
      </c>
      <c r="CS37" s="116">
        <v>39</v>
      </c>
      <c r="CT37" s="105">
        <v>-28</v>
      </c>
      <c r="CU37" s="105">
        <v>11</v>
      </c>
      <c r="CV37" s="105">
        <v>313</v>
      </c>
      <c r="CW37" s="117">
        <v>324</v>
      </c>
      <c r="CX37" s="109"/>
      <c r="CY37" s="107">
        <v>-2</v>
      </c>
      <c r="CZ37" s="105">
        <v>26</v>
      </c>
      <c r="DA37" s="116">
        <v>24</v>
      </c>
      <c r="DB37" s="105">
        <v>-3</v>
      </c>
      <c r="DC37" s="105">
        <v>21</v>
      </c>
      <c r="DD37" s="105">
        <v>19</v>
      </c>
      <c r="DE37" s="117">
        <v>40</v>
      </c>
      <c r="DF37" s="109"/>
      <c r="DG37" s="107">
        <v>0</v>
      </c>
      <c r="DH37" s="105">
        <v>0</v>
      </c>
      <c r="DI37" s="116">
        <v>0</v>
      </c>
      <c r="DJ37" s="105">
        <v>2</v>
      </c>
      <c r="DK37" s="105">
        <v>2</v>
      </c>
      <c r="DL37" s="105">
        <v>16</v>
      </c>
      <c r="DM37" s="117">
        <v>18</v>
      </c>
    </row>
    <row r="38" spans="1:117" outlineLevel="1" x14ac:dyDescent="0.25">
      <c r="A38" s="95" t="s">
        <v>59</v>
      </c>
      <c r="B38" s="42" t="s">
        <v>59</v>
      </c>
      <c r="C38" s="9"/>
      <c r="D38" s="9"/>
      <c r="E38" s="742">
        <v>26</v>
      </c>
      <c r="F38" s="9"/>
      <c r="G38" s="624">
        <v>4</v>
      </c>
      <c r="H38" s="626">
        <f>I38-G38</f>
        <v>4</v>
      </c>
      <c r="I38" s="626">
        <v>8</v>
      </c>
      <c r="J38" s="626">
        <f>K38-I38</f>
        <v>4</v>
      </c>
      <c r="K38" s="690">
        <v>12</v>
      </c>
      <c r="L38" s="626">
        <f>M38-K38</f>
        <v>54</v>
      </c>
      <c r="M38" s="627">
        <v>66</v>
      </c>
      <c r="N38" s="9"/>
      <c r="O38" s="569">
        <v>4</v>
      </c>
      <c r="P38" s="441">
        <v>5</v>
      </c>
      <c r="Q38" s="441">
        <v>9</v>
      </c>
      <c r="R38" s="441">
        <v>4</v>
      </c>
      <c r="S38" s="441">
        <v>13</v>
      </c>
      <c r="T38" s="441">
        <v>5</v>
      </c>
      <c r="U38" s="441">
        <v>18</v>
      </c>
      <c r="V38" s="600"/>
      <c r="W38" s="569">
        <v>9</v>
      </c>
      <c r="X38" s="441">
        <f t="shared" si="0"/>
        <v>9</v>
      </c>
      <c r="Y38" s="441">
        <v>18</v>
      </c>
      <c r="Z38" s="441">
        <f t="shared" si="0"/>
        <v>8</v>
      </c>
      <c r="AA38" s="424">
        <v>26</v>
      </c>
      <c r="AB38" s="441">
        <f t="shared" si="0"/>
        <v>1</v>
      </c>
      <c r="AC38" s="29">
        <v>27</v>
      </c>
      <c r="AD38" s="483"/>
      <c r="AE38" s="107">
        <v>13</v>
      </c>
      <c r="AF38" s="441">
        <f t="shared" si="1"/>
        <v>12</v>
      </c>
      <c r="AG38" s="441">
        <v>25</v>
      </c>
      <c r="AH38" s="441">
        <f t="shared" si="2"/>
        <v>13</v>
      </c>
      <c r="AI38" s="441">
        <v>38</v>
      </c>
      <c r="AJ38" s="408">
        <f t="shared" si="3"/>
        <v>2</v>
      </c>
      <c r="AK38" s="29">
        <v>40</v>
      </c>
      <c r="AL38" s="9"/>
      <c r="AM38" s="107">
        <v>0</v>
      </c>
      <c r="AN38" s="441">
        <v>8</v>
      </c>
      <c r="AO38" s="441">
        <v>8</v>
      </c>
      <c r="AP38" s="441">
        <v>8</v>
      </c>
      <c r="AQ38" s="441">
        <v>16</v>
      </c>
      <c r="AR38" s="441">
        <f t="shared" si="4"/>
        <v>22</v>
      </c>
      <c r="AS38" s="106">
        <v>38</v>
      </c>
      <c r="AT38" s="9"/>
      <c r="AU38" s="446">
        <v>16</v>
      </c>
      <c r="AV38" s="441">
        <v>20</v>
      </c>
      <c r="AW38" s="441">
        <v>36</v>
      </c>
      <c r="AX38" s="441">
        <v>-2</v>
      </c>
      <c r="AY38" s="441">
        <v>34</v>
      </c>
      <c r="AZ38" s="441">
        <v>-54</v>
      </c>
      <c r="BA38" s="106">
        <v>-20</v>
      </c>
      <c r="BB38" s="9"/>
      <c r="BC38" s="107">
        <v>-15</v>
      </c>
      <c r="BD38" s="105">
        <v>23</v>
      </c>
      <c r="BE38" s="105">
        <v>8</v>
      </c>
      <c r="BF38" s="105">
        <v>24</v>
      </c>
      <c r="BG38" s="105">
        <v>32</v>
      </c>
      <c r="BH38" s="105">
        <v>24</v>
      </c>
      <c r="BI38" s="106">
        <v>56</v>
      </c>
      <c r="BJ38" s="9"/>
      <c r="BK38" s="107">
        <v>36</v>
      </c>
      <c r="BL38" s="105">
        <v>41</v>
      </c>
      <c r="BM38" s="105">
        <v>77</v>
      </c>
      <c r="BN38" s="105">
        <v>40</v>
      </c>
      <c r="BO38" s="105">
        <v>117</v>
      </c>
      <c r="BP38" s="105">
        <v>-284</v>
      </c>
      <c r="BQ38" s="106">
        <v>-167</v>
      </c>
      <c r="BR38" s="9"/>
      <c r="BS38" s="107">
        <v>51</v>
      </c>
      <c r="BT38" s="105">
        <v>49</v>
      </c>
      <c r="BU38" s="105">
        <v>100</v>
      </c>
      <c r="BV38" s="105">
        <v>49</v>
      </c>
      <c r="BW38" s="105">
        <v>149</v>
      </c>
      <c r="BX38" s="105">
        <v>42</v>
      </c>
      <c r="BY38" s="106">
        <v>191</v>
      </c>
      <c r="BZ38" s="9"/>
      <c r="CA38" s="107">
        <v>55</v>
      </c>
      <c r="CB38" s="105">
        <v>40</v>
      </c>
      <c r="CC38" s="105">
        <v>95</v>
      </c>
      <c r="CD38" s="105">
        <v>97</v>
      </c>
      <c r="CE38" s="105">
        <v>192</v>
      </c>
      <c r="CF38" s="105">
        <v>-8</v>
      </c>
      <c r="CG38" s="106">
        <v>184</v>
      </c>
      <c r="CH38" s="105"/>
      <c r="CI38" s="107">
        <v>34</v>
      </c>
      <c r="CJ38" s="105">
        <v>34</v>
      </c>
      <c r="CK38" s="105">
        <v>68</v>
      </c>
      <c r="CL38" s="105">
        <v>34</v>
      </c>
      <c r="CM38" s="105">
        <v>102</v>
      </c>
      <c r="CN38" s="105">
        <v>34</v>
      </c>
      <c r="CO38" s="106">
        <v>136</v>
      </c>
      <c r="CP38" s="109"/>
      <c r="CQ38" s="107">
        <v>37</v>
      </c>
      <c r="CR38" s="105">
        <v>29</v>
      </c>
      <c r="CS38" s="116">
        <v>66</v>
      </c>
      <c r="CT38" s="105">
        <v>34</v>
      </c>
      <c r="CU38" s="105">
        <v>100</v>
      </c>
      <c r="CV38" s="105">
        <v>34</v>
      </c>
      <c r="CW38" s="117">
        <v>134</v>
      </c>
      <c r="CX38" s="109"/>
      <c r="CY38" s="107">
        <v>35</v>
      </c>
      <c r="CZ38" s="105">
        <v>36</v>
      </c>
      <c r="DA38" s="116">
        <v>71</v>
      </c>
      <c r="DB38" s="105">
        <v>37</v>
      </c>
      <c r="DC38" s="105">
        <v>108</v>
      </c>
      <c r="DD38" s="105">
        <v>37</v>
      </c>
      <c r="DE38" s="117">
        <v>145</v>
      </c>
      <c r="DF38" s="109"/>
      <c r="DG38" s="107">
        <v>0</v>
      </c>
      <c r="DH38" s="105">
        <v>0</v>
      </c>
      <c r="DI38" s="116">
        <v>0</v>
      </c>
      <c r="DJ38" s="105">
        <v>35</v>
      </c>
      <c r="DK38" s="105">
        <v>35</v>
      </c>
      <c r="DL38" s="105">
        <v>34</v>
      </c>
      <c r="DM38" s="117">
        <v>69</v>
      </c>
    </row>
    <row r="39" spans="1:117" outlineLevel="1" x14ac:dyDescent="0.25">
      <c r="A39" s="95" t="s">
        <v>71</v>
      </c>
      <c r="B39" s="42" t="s">
        <v>71</v>
      </c>
      <c r="C39" s="9"/>
      <c r="D39" s="9"/>
      <c r="E39" s="742">
        <v>0</v>
      </c>
      <c r="F39" s="9"/>
      <c r="G39" s="624">
        <v>0</v>
      </c>
      <c r="H39" s="626">
        <v>0</v>
      </c>
      <c r="I39" s="626">
        <v>0</v>
      </c>
      <c r="J39" s="626">
        <v>0</v>
      </c>
      <c r="K39" s="626">
        <v>0</v>
      </c>
      <c r="L39" s="626">
        <v>0</v>
      </c>
      <c r="M39" s="627">
        <v>0</v>
      </c>
      <c r="N39" s="9"/>
      <c r="O39" s="569">
        <v>0</v>
      </c>
      <c r="P39" s="441">
        <v>0</v>
      </c>
      <c r="Q39" s="441">
        <v>0</v>
      </c>
      <c r="R39" s="441">
        <v>0</v>
      </c>
      <c r="S39" s="441">
        <v>0</v>
      </c>
      <c r="T39" s="441">
        <v>0</v>
      </c>
      <c r="U39" s="441">
        <v>0</v>
      </c>
      <c r="V39" s="600"/>
      <c r="W39" s="569">
        <v>0</v>
      </c>
      <c r="X39" s="441">
        <f t="shared" si="0"/>
        <v>0</v>
      </c>
      <c r="Y39" s="441">
        <v>0</v>
      </c>
      <c r="Z39" s="441">
        <f t="shared" si="0"/>
        <v>0</v>
      </c>
      <c r="AA39" s="424">
        <v>0</v>
      </c>
      <c r="AB39" s="441">
        <f t="shared" si="0"/>
        <v>0</v>
      </c>
      <c r="AC39" s="23">
        <v>0</v>
      </c>
      <c r="AD39" s="483"/>
      <c r="AE39" s="107">
        <v>0</v>
      </c>
      <c r="AF39" s="441">
        <f t="shared" si="1"/>
        <v>0</v>
      </c>
      <c r="AG39" s="441">
        <v>0</v>
      </c>
      <c r="AH39" s="441">
        <v>0</v>
      </c>
      <c r="AI39" s="441">
        <v>0</v>
      </c>
      <c r="AJ39" s="405">
        <f t="shared" si="3"/>
        <v>0</v>
      </c>
      <c r="AK39" s="23">
        <v>0</v>
      </c>
      <c r="AL39" s="9"/>
      <c r="AM39" s="107">
        <v>0</v>
      </c>
      <c r="AN39" s="441">
        <v>0</v>
      </c>
      <c r="AO39" s="441">
        <v>0</v>
      </c>
      <c r="AP39" s="441">
        <v>0</v>
      </c>
      <c r="AQ39" s="441">
        <v>0</v>
      </c>
      <c r="AR39" s="441">
        <f t="shared" si="4"/>
        <v>0</v>
      </c>
      <c r="AS39" s="106">
        <v>0</v>
      </c>
      <c r="AT39" s="9"/>
      <c r="AU39" s="446">
        <v>0</v>
      </c>
      <c r="AV39" s="441">
        <v>0</v>
      </c>
      <c r="AW39" s="441">
        <v>0</v>
      </c>
      <c r="AX39" s="441">
        <v>0</v>
      </c>
      <c r="AY39" s="441">
        <v>0</v>
      </c>
      <c r="AZ39" s="441">
        <v>0</v>
      </c>
      <c r="BA39" s="106">
        <v>0</v>
      </c>
      <c r="BB39" s="9"/>
      <c r="BC39" s="107">
        <v>0</v>
      </c>
      <c r="BD39" s="105">
        <v>0</v>
      </c>
      <c r="BE39" s="105">
        <v>0</v>
      </c>
      <c r="BF39" s="105">
        <v>0</v>
      </c>
      <c r="BG39" s="105">
        <v>0</v>
      </c>
      <c r="BH39" s="105">
        <v>0</v>
      </c>
      <c r="BI39" s="106">
        <v>0</v>
      </c>
      <c r="BJ39" s="9"/>
      <c r="BK39" s="107">
        <v>0</v>
      </c>
      <c r="BL39" s="105">
        <v>0</v>
      </c>
      <c r="BM39" s="105">
        <v>0</v>
      </c>
      <c r="BN39" s="105">
        <v>0</v>
      </c>
      <c r="BO39" s="105">
        <v>0</v>
      </c>
      <c r="BP39" s="105">
        <v>0</v>
      </c>
      <c r="BQ39" s="106">
        <v>0</v>
      </c>
      <c r="BR39" s="9"/>
      <c r="BS39" s="107">
        <v>8864</v>
      </c>
      <c r="BT39" s="105">
        <v>0</v>
      </c>
      <c r="BU39" s="105">
        <v>8864</v>
      </c>
      <c r="BV39" s="105">
        <v>0</v>
      </c>
      <c r="BW39" s="105">
        <v>8864</v>
      </c>
      <c r="BX39" s="105">
        <v>0</v>
      </c>
      <c r="BY39" s="106">
        <v>8864</v>
      </c>
      <c r="BZ39" s="9"/>
      <c r="CA39" s="107">
        <v>0</v>
      </c>
      <c r="CB39" s="105">
        <v>0</v>
      </c>
      <c r="CC39" s="105">
        <v>0</v>
      </c>
      <c r="CD39" s="105">
        <v>0</v>
      </c>
      <c r="CE39" s="105">
        <v>0</v>
      </c>
      <c r="CF39" s="105">
        <v>16000</v>
      </c>
      <c r="CG39" s="106">
        <v>16000</v>
      </c>
      <c r="CH39" s="105"/>
      <c r="CI39" s="107">
        <v>0</v>
      </c>
      <c r="CJ39" s="105">
        <v>0</v>
      </c>
      <c r="CK39" s="105">
        <v>0</v>
      </c>
      <c r="CL39" s="105">
        <v>0</v>
      </c>
      <c r="CM39" s="105">
        <v>0</v>
      </c>
      <c r="CN39" s="105">
        <v>0</v>
      </c>
      <c r="CO39" s="106">
        <v>0</v>
      </c>
      <c r="CP39" s="109"/>
      <c r="CQ39" s="107">
        <v>0</v>
      </c>
      <c r="CR39" s="105">
        <v>0</v>
      </c>
      <c r="CS39" s="105">
        <v>0</v>
      </c>
      <c r="CT39" s="105">
        <v>0</v>
      </c>
      <c r="CU39" s="105">
        <v>0</v>
      </c>
      <c r="CV39" s="105">
        <v>0</v>
      </c>
      <c r="CW39" s="106">
        <v>0</v>
      </c>
      <c r="CX39" s="109"/>
      <c r="CY39" s="107">
        <v>0</v>
      </c>
      <c r="CZ39" s="105">
        <v>0</v>
      </c>
      <c r="DA39" s="105">
        <v>0</v>
      </c>
      <c r="DB39" s="105">
        <v>0</v>
      </c>
      <c r="DC39" s="105">
        <v>0</v>
      </c>
      <c r="DD39" s="105">
        <v>0</v>
      </c>
      <c r="DE39" s="106">
        <v>0</v>
      </c>
      <c r="DF39" s="109"/>
      <c r="DG39" s="107">
        <v>0</v>
      </c>
      <c r="DH39" s="105">
        <v>0</v>
      </c>
      <c r="DI39" s="105">
        <v>0</v>
      </c>
      <c r="DJ39" s="105">
        <v>0</v>
      </c>
      <c r="DK39" s="105">
        <v>0</v>
      </c>
      <c r="DL39" s="105">
        <v>0</v>
      </c>
      <c r="DM39" s="106">
        <v>0</v>
      </c>
    </row>
    <row r="40" spans="1:117" outlineLevel="1" x14ac:dyDescent="0.25">
      <c r="A40" s="95" t="s">
        <v>98</v>
      </c>
      <c r="B40" s="42" t="s">
        <v>62</v>
      </c>
      <c r="C40" s="9"/>
      <c r="D40" s="9"/>
      <c r="E40" s="742">
        <v>0</v>
      </c>
      <c r="F40" s="9"/>
      <c r="G40" s="624">
        <v>0</v>
      </c>
      <c r="H40" s="626">
        <v>0</v>
      </c>
      <c r="I40" s="626">
        <v>0</v>
      </c>
      <c r="J40" s="626">
        <v>0</v>
      </c>
      <c r="K40" s="626">
        <v>0</v>
      </c>
      <c r="L40" s="626">
        <v>0</v>
      </c>
      <c r="M40" s="627">
        <v>0</v>
      </c>
      <c r="N40" s="9"/>
      <c r="O40" s="569">
        <v>0</v>
      </c>
      <c r="P40" s="441">
        <v>0</v>
      </c>
      <c r="Q40" s="441">
        <v>0</v>
      </c>
      <c r="R40" s="441">
        <v>0</v>
      </c>
      <c r="S40" s="441">
        <v>0</v>
      </c>
      <c r="T40" s="441">
        <v>0</v>
      </c>
      <c r="U40" s="441">
        <v>0</v>
      </c>
      <c r="V40" s="600"/>
      <c r="W40" s="569">
        <v>0</v>
      </c>
      <c r="X40" s="441">
        <f t="shared" si="0"/>
        <v>0</v>
      </c>
      <c r="Y40" s="441">
        <v>0</v>
      </c>
      <c r="Z40" s="441">
        <f t="shared" si="0"/>
        <v>0</v>
      </c>
      <c r="AA40" s="424">
        <v>0</v>
      </c>
      <c r="AB40" s="441">
        <f t="shared" si="0"/>
        <v>0</v>
      </c>
      <c r="AC40" s="29">
        <v>0</v>
      </c>
      <c r="AD40" s="483"/>
      <c r="AE40" s="107">
        <v>0</v>
      </c>
      <c r="AF40" s="441">
        <f t="shared" si="1"/>
        <v>0</v>
      </c>
      <c r="AG40" s="441">
        <v>0</v>
      </c>
      <c r="AH40" s="441">
        <v>0</v>
      </c>
      <c r="AI40" s="441">
        <v>0</v>
      </c>
      <c r="AJ40" s="408">
        <f t="shared" si="3"/>
        <v>0</v>
      </c>
      <c r="AK40" s="29">
        <v>0</v>
      </c>
      <c r="AL40" s="9"/>
      <c r="AM40" s="107">
        <v>299</v>
      </c>
      <c r="AN40" s="441">
        <v>11</v>
      </c>
      <c r="AO40" s="441">
        <v>310</v>
      </c>
      <c r="AP40" s="441">
        <v>0</v>
      </c>
      <c r="AQ40" s="441">
        <v>310</v>
      </c>
      <c r="AR40" s="441">
        <f t="shared" si="4"/>
        <v>0</v>
      </c>
      <c r="AS40" s="106">
        <v>310</v>
      </c>
      <c r="AT40" s="9"/>
      <c r="AU40" s="446">
        <v>0</v>
      </c>
      <c r="AV40" s="441">
        <v>0</v>
      </c>
      <c r="AW40" s="441">
        <v>0</v>
      </c>
      <c r="AX40" s="441">
        <v>0</v>
      </c>
      <c r="AY40" s="441">
        <v>0</v>
      </c>
      <c r="AZ40" s="441">
        <v>0</v>
      </c>
      <c r="BA40" s="106">
        <v>0</v>
      </c>
      <c r="BB40" s="9"/>
      <c r="BC40" s="107">
        <v>0</v>
      </c>
      <c r="BD40" s="105">
        <v>0</v>
      </c>
      <c r="BE40" s="105">
        <v>0</v>
      </c>
      <c r="BF40" s="105">
        <v>0</v>
      </c>
      <c r="BG40" s="105">
        <v>0</v>
      </c>
      <c r="BH40" s="105">
        <v>0</v>
      </c>
      <c r="BI40" s="106">
        <v>0</v>
      </c>
      <c r="BJ40" s="9"/>
      <c r="BK40" s="107">
        <v>0</v>
      </c>
      <c r="BL40" s="105">
        <v>0</v>
      </c>
      <c r="BM40" s="105">
        <v>0</v>
      </c>
      <c r="BN40" s="105">
        <v>0</v>
      </c>
      <c r="BO40" s="105">
        <v>0</v>
      </c>
      <c r="BP40" s="105">
        <v>0</v>
      </c>
      <c r="BQ40" s="106">
        <v>0</v>
      </c>
      <c r="BR40" s="9"/>
      <c r="BS40" s="107">
        <v>0</v>
      </c>
      <c r="BT40" s="105">
        <v>0</v>
      </c>
      <c r="BU40" s="105">
        <v>0</v>
      </c>
      <c r="BV40" s="105">
        <v>0</v>
      </c>
      <c r="BW40" s="105">
        <v>0</v>
      </c>
      <c r="BX40" s="105">
        <v>0</v>
      </c>
      <c r="BY40" s="106">
        <v>0</v>
      </c>
      <c r="BZ40" s="9"/>
      <c r="CA40" s="107">
        <v>0</v>
      </c>
      <c r="CB40" s="105">
        <v>0</v>
      </c>
      <c r="CC40" s="105">
        <v>0</v>
      </c>
      <c r="CD40" s="105">
        <v>0</v>
      </c>
      <c r="CE40" s="105">
        <v>0</v>
      </c>
      <c r="CF40" s="105">
        <v>0</v>
      </c>
      <c r="CG40" s="106">
        <v>0</v>
      </c>
      <c r="CH40" s="105"/>
      <c r="CI40" s="107">
        <v>0</v>
      </c>
      <c r="CJ40" s="105">
        <v>0</v>
      </c>
      <c r="CK40" s="105">
        <v>0</v>
      </c>
      <c r="CL40" s="105">
        <v>0</v>
      </c>
      <c r="CM40" s="105">
        <v>0</v>
      </c>
      <c r="CN40" s="105">
        <v>0</v>
      </c>
      <c r="CO40" s="106">
        <v>0</v>
      </c>
      <c r="CP40" s="109"/>
      <c r="CQ40" s="107">
        <v>0</v>
      </c>
      <c r="CR40" s="105">
        <v>0</v>
      </c>
      <c r="CS40" s="116">
        <v>0</v>
      </c>
      <c r="CT40" s="105">
        <v>0</v>
      </c>
      <c r="CU40" s="105">
        <v>0</v>
      </c>
      <c r="CV40" s="105">
        <v>0</v>
      </c>
      <c r="CW40" s="117">
        <v>0</v>
      </c>
      <c r="CX40" s="109"/>
      <c r="CY40" s="107">
        <v>0</v>
      </c>
      <c r="CZ40" s="105">
        <v>0</v>
      </c>
      <c r="DA40" s="116">
        <v>0</v>
      </c>
      <c r="DB40" s="105">
        <v>0</v>
      </c>
      <c r="DC40" s="105">
        <v>0</v>
      </c>
      <c r="DD40" s="105">
        <v>0</v>
      </c>
      <c r="DE40" s="117">
        <v>0</v>
      </c>
      <c r="DF40" s="109"/>
      <c r="DG40" s="107">
        <v>4225</v>
      </c>
      <c r="DH40" s="105">
        <v>129</v>
      </c>
      <c r="DI40" s="116">
        <v>4354</v>
      </c>
      <c r="DJ40" s="105">
        <v>123</v>
      </c>
      <c r="DK40" s="105">
        <v>4477</v>
      </c>
      <c r="DL40" s="105">
        <v>62</v>
      </c>
      <c r="DM40" s="117">
        <v>4539</v>
      </c>
    </row>
    <row r="41" spans="1:117" outlineLevel="1" x14ac:dyDescent="0.25">
      <c r="B41" s="42" t="s">
        <v>63</v>
      </c>
      <c r="C41" s="9"/>
      <c r="D41" s="9"/>
      <c r="E41" s="742">
        <v>0</v>
      </c>
      <c r="F41" s="9"/>
      <c r="G41" s="624">
        <v>0</v>
      </c>
      <c r="H41" s="626">
        <v>0</v>
      </c>
      <c r="I41" s="626">
        <v>0</v>
      </c>
      <c r="J41" s="626">
        <v>0</v>
      </c>
      <c r="K41" s="626">
        <v>0</v>
      </c>
      <c r="L41" s="626">
        <v>0</v>
      </c>
      <c r="M41" s="627">
        <v>0</v>
      </c>
      <c r="N41" s="9"/>
      <c r="O41" s="569">
        <v>0</v>
      </c>
      <c r="P41" s="441">
        <v>0</v>
      </c>
      <c r="Q41" s="441">
        <v>0</v>
      </c>
      <c r="R41" s="441">
        <v>0</v>
      </c>
      <c r="S41" s="441">
        <v>0</v>
      </c>
      <c r="T41" s="441">
        <v>0</v>
      </c>
      <c r="U41" s="441">
        <v>0</v>
      </c>
      <c r="V41" s="600"/>
      <c r="W41" s="569">
        <v>0</v>
      </c>
      <c r="X41" s="441">
        <f t="shared" si="0"/>
        <v>0</v>
      </c>
      <c r="Y41" s="441">
        <v>0</v>
      </c>
      <c r="Z41" s="441">
        <f t="shared" si="0"/>
        <v>0</v>
      </c>
      <c r="AA41" s="424">
        <v>0</v>
      </c>
      <c r="AB41" s="441">
        <f t="shared" si="0"/>
        <v>0</v>
      </c>
      <c r="AC41" s="29">
        <v>0</v>
      </c>
      <c r="AD41" s="483"/>
      <c r="AE41" s="107">
        <v>0</v>
      </c>
      <c r="AF41" s="441">
        <f t="shared" si="1"/>
        <v>0</v>
      </c>
      <c r="AG41" s="441">
        <v>0</v>
      </c>
      <c r="AH41" s="441">
        <v>0</v>
      </c>
      <c r="AI41" s="441">
        <v>0</v>
      </c>
      <c r="AJ41" s="408">
        <f t="shared" si="3"/>
        <v>0</v>
      </c>
      <c r="AK41" s="29">
        <v>0</v>
      </c>
      <c r="AL41" s="9"/>
      <c r="AM41" s="107">
        <v>0</v>
      </c>
      <c r="AN41" s="441">
        <v>0</v>
      </c>
      <c r="AO41" s="441">
        <v>0</v>
      </c>
      <c r="AP41" s="441">
        <v>0</v>
      </c>
      <c r="AQ41" s="441">
        <v>0</v>
      </c>
      <c r="AR41" s="441">
        <f t="shared" si="4"/>
        <v>0</v>
      </c>
      <c r="AS41" s="106">
        <v>0</v>
      </c>
      <c r="AT41" s="9"/>
      <c r="AU41" s="446">
        <v>0</v>
      </c>
      <c r="AV41" s="441">
        <v>0</v>
      </c>
      <c r="AW41" s="441">
        <v>0</v>
      </c>
      <c r="AX41" s="441">
        <v>0</v>
      </c>
      <c r="AY41" s="441">
        <v>0</v>
      </c>
      <c r="AZ41" s="441">
        <v>0</v>
      </c>
      <c r="BA41" s="106">
        <v>0</v>
      </c>
      <c r="BB41" s="9"/>
      <c r="BC41" s="107">
        <v>0</v>
      </c>
      <c r="BD41" s="105">
        <v>0</v>
      </c>
      <c r="BE41" s="105">
        <v>0</v>
      </c>
      <c r="BF41" s="105">
        <v>0</v>
      </c>
      <c r="BG41" s="105">
        <v>0</v>
      </c>
      <c r="BH41" s="105">
        <v>0</v>
      </c>
      <c r="BI41" s="106">
        <v>0</v>
      </c>
      <c r="BJ41" s="9"/>
      <c r="BK41" s="107">
        <v>0</v>
      </c>
      <c r="BL41" s="105">
        <v>0</v>
      </c>
      <c r="BM41" s="105">
        <v>0</v>
      </c>
      <c r="BN41" s="105">
        <v>0</v>
      </c>
      <c r="BO41" s="105">
        <v>0</v>
      </c>
      <c r="BP41" s="105">
        <v>0</v>
      </c>
      <c r="BQ41" s="106">
        <v>0</v>
      </c>
      <c r="BR41" s="9"/>
      <c r="BS41" s="107">
        <v>0</v>
      </c>
      <c r="BT41" s="105">
        <v>0</v>
      </c>
      <c r="BU41" s="105">
        <v>0</v>
      </c>
      <c r="BV41" s="105">
        <v>0</v>
      </c>
      <c r="BW41" s="105">
        <v>0</v>
      </c>
      <c r="BX41" s="105">
        <v>0</v>
      </c>
      <c r="BY41" s="106">
        <v>0</v>
      </c>
      <c r="BZ41" s="9"/>
      <c r="CA41" s="107">
        <v>0</v>
      </c>
      <c r="CB41" s="105">
        <v>0</v>
      </c>
      <c r="CC41" s="105">
        <v>0</v>
      </c>
      <c r="CD41" s="105">
        <v>0</v>
      </c>
      <c r="CE41" s="105">
        <v>0</v>
      </c>
      <c r="CF41" s="105">
        <v>0</v>
      </c>
      <c r="CG41" s="106">
        <v>0</v>
      </c>
      <c r="CH41" s="105"/>
      <c r="CI41" s="107">
        <v>0</v>
      </c>
      <c r="CJ41" s="105">
        <v>0</v>
      </c>
      <c r="CK41" s="105">
        <v>0</v>
      </c>
      <c r="CL41" s="105">
        <v>0</v>
      </c>
      <c r="CM41" s="105">
        <v>0</v>
      </c>
      <c r="CN41" s="105">
        <v>0</v>
      </c>
      <c r="CO41" s="106">
        <v>0</v>
      </c>
      <c r="CP41" s="109"/>
      <c r="CQ41" s="107">
        <v>0</v>
      </c>
      <c r="CR41" s="105">
        <v>0</v>
      </c>
      <c r="CS41" s="116">
        <v>0</v>
      </c>
      <c r="CT41" s="105">
        <v>0</v>
      </c>
      <c r="CU41" s="105">
        <v>0</v>
      </c>
      <c r="CV41" s="105">
        <v>0</v>
      </c>
      <c r="CW41" s="117">
        <v>0</v>
      </c>
      <c r="CX41" s="109"/>
      <c r="CY41" s="107">
        <v>0</v>
      </c>
      <c r="CZ41" s="105">
        <v>0</v>
      </c>
      <c r="DA41" s="116">
        <v>0</v>
      </c>
      <c r="DB41" s="105">
        <v>0</v>
      </c>
      <c r="DC41" s="105">
        <v>0</v>
      </c>
      <c r="DD41" s="105">
        <v>0</v>
      </c>
      <c r="DE41" s="117">
        <v>0</v>
      </c>
      <c r="DF41" s="109"/>
      <c r="DG41" s="107">
        <v>0</v>
      </c>
      <c r="DH41" s="105">
        <v>0</v>
      </c>
      <c r="DI41" s="116">
        <v>0</v>
      </c>
      <c r="DJ41" s="105">
        <v>0</v>
      </c>
      <c r="DK41" s="105">
        <v>0</v>
      </c>
      <c r="DL41" s="105">
        <v>0</v>
      </c>
      <c r="DM41" s="117">
        <v>0</v>
      </c>
    </row>
    <row r="42" spans="1:117" outlineLevel="1" x14ac:dyDescent="0.25">
      <c r="A42" s="95" t="s">
        <v>157</v>
      </c>
      <c r="B42" s="42" t="s">
        <v>64</v>
      </c>
      <c r="C42" s="9"/>
      <c r="D42" s="9"/>
      <c r="E42" s="742">
        <v>0</v>
      </c>
      <c r="F42" s="9"/>
      <c r="G42" s="624">
        <v>0</v>
      </c>
      <c r="H42" s="626">
        <v>0</v>
      </c>
      <c r="I42" s="626">
        <v>0</v>
      </c>
      <c r="J42" s="626">
        <v>0</v>
      </c>
      <c r="K42" s="626">
        <v>0</v>
      </c>
      <c r="L42" s="626">
        <v>0</v>
      </c>
      <c r="M42" s="627">
        <v>0</v>
      </c>
      <c r="N42" s="9"/>
      <c r="O42" s="569">
        <v>0</v>
      </c>
      <c r="P42" s="441">
        <v>0</v>
      </c>
      <c r="Q42" s="441">
        <v>0</v>
      </c>
      <c r="R42" s="441">
        <v>0</v>
      </c>
      <c r="S42" s="441">
        <v>0</v>
      </c>
      <c r="T42" s="441">
        <v>0</v>
      </c>
      <c r="U42" s="441">
        <v>0</v>
      </c>
      <c r="V42" s="600"/>
      <c r="W42" s="569">
        <v>0</v>
      </c>
      <c r="X42" s="441">
        <f t="shared" si="0"/>
        <v>0</v>
      </c>
      <c r="Y42" s="441">
        <v>0</v>
      </c>
      <c r="Z42" s="441">
        <f t="shared" si="0"/>
        <v>0</v>
      </c>
      <c r="AA42" s="424">
        <v>0</v>
      </c>
      <c r="AB42" s="441">
        <f t="shared" si="0"/>
        <v>0</v>
      </c>
      <c r="AC42" s="29">
        <v>0</v>
      </c>
      <c r="AD42" s="483"/>
      <c r="AE42" s="107">
        <v>0</v>
      </c>
      <c r="AF42" s="441">
        <f t="shared" si="1"/>
        <v>0</v>
      </c>
      <c r="AG42" s="441">
        <v>0</v>
      </c>
      <c r="AH42" s="441">
        <v>0</v>
      </c>
      <c r="AI42" s="441">
        <v>0</v>
      </c>
      <c r="AJ42" s="408">
        <f t="shared" si="3"/>
        <v>0</v>
      </c>
      <c r="AK42" s="29">
        <v>0</v>
      </c>
      <c r="AL42" s="9"/>
      <c r="AM42" s="107">
        <v>0</v>
      </c>
      <c r="AN42" s="441">
        <v>0</v>
      </c>
      <c r="AO42" s="441">
        <v>0</v>
      </c>
      <c r="AP42" s="441">
        <v>0</v>
      </c>
      <c r="AQ42" s="441">
        <v>0</v>
      </c>
      <c r="AR42" s="441">
        <f t="shared" si="4"/>
        <v>0</v>
      </c>
      <c r="AS42" s="106">
        <v>0</v>
      </c>
      <c r="AT42" s="9"/>
      <c r="AU42" s="446">
        <v>0</v>
      </c>
      <c r="AV42" s="441">
        <v>0</v>
      </c>
      <c r="AW42" s="441">
        <v>0</v>
      </c>
      <c r="AX42" s="441">
        <v>0</v>
      </c>
      <c r="AY42" s="441">
        <v>0</v>
      </c>
      <c r="AZ42" s="441">
        <v>0</v>
      </c>
      <c r="BA42" s="106">
        <v>0</v>
      </c>
      <c r="BB42" s="9"/>
      <c r="BC42" s="107">
        <v>0</v>
      </c>
      <c r="BD42" s="105">
        <v>0</v>
      </c>
      <c r="BE42" s="105">
        <v>0</v>
      </c>
      <c r="BF42" s="105">
        <v>0</v>
      </c>
      <c r="BG42" s="105">
        <v>0</v>
      </c>
      <c r="BH42" s="105">
        <v>0</v>
      </c>
      <c r="BI42" s="106">
        <v>0</v>
      </c>
      <c r="BJ42" s="9"/>
      <c r="BK42" s="107">
        <v>0</v>
      </c>
      <c r="BL42" s="105">
        <v>0</v>
      </c>
      <c r="BM42" s="105">
        <v>0</v>
      </c>
      <c r="BN42" s="105">
        <v>0</v>
      </c>
      <c r="BO42" s="105">
        <v>0</v>
      </c>
      <c r="BP42" s="105">
        <v>0</v>
      </c>
      <c r="BQ42" s="106">
        <v>0</v>
      </c>
      <c r="BR42" s="9"/>
      <c r="BS42" s="107">
        <v>0</v>
      </c>
      <c r="BT42" s="105">
        <v>0</v>
      </c>
      <c r="BU42" s="105">
        <v>0</v>
      </c>
      <c r="BV42" s="105">
        <v>0</v>
      </c>
      <c r="BW42" s="105">
        <v>0</v>
      </c>
      <c r="BX42" s="105">
        <v>0</v>
      </c>
      <c r="BY42" s="106">
        <v>0</v>
      </c>
      <c r="BZ42" s="9"/>
      <c r="CA42" s="107">
        <v>0</v>
      </c>
      <c r="CB42" s="105">
        <v>0</v>
      </c>
      <c r="CC42" s="105">
        <v>0</v>
      </c>
      <c r="CD42" s="105">
        <v>0</v>
      </c>
      <c r="CE42" s="105">
        <v>0</v>
      </c>
      <c r="CF42" s="105">
        <v>0</v>
      </c>
      <c r="CG42" s="106">
        <v>0</v>
      </c>
      <c r="CH42" s="105"/>
      <c r="CI42" s="107">
        <v>0</v>
      </c>
      <c r="CJ42" s="105">
        <v>0</v>
      </c>
      <c r="CK42" s="105">
        <v>0</v>
      </c>
      <c r="CL42" s="105">
        <v>0</v>
      </c>
      <c r="CM42" s="105">
        <v>0</v>
      </c>
      <c r="CN42" s="105">
        <v>0</v>
      </c>
      <c r="CO42" s="106">
        <v>0</v>
      </c>
      <c r="CP42" s="109"/>
      <c r="CQ42" s="107">
        <v>0</v>
      </c>
      <c r="CR42" s="105">
        <v>0</v>
      </c>
      <c r="CS42" s="105">
        <v>0</v>
      </c>
      <c r="CT42" s="105">
        <v>0</v>
      </c>
      <c r="CU42" s="105">
        <v>0</v>
      </c>
      <c r="CV42" s="105">
        <v>0</v>
      </c>
      <c r="CW42" s="106">
        <v>0</v>
      </c>
      <c r="CX42" s="109"/>
      <c r="CY42" s="107">
        <v>0</v>
      </c>
      <c r="CZ42" s="105">
        <v>0</v>
      </c>
      <c r="DA42" s="105">
        <v>0</v>
      </c>
      <c r="DB42" s="105">
        <v>0</v>
      </c>
      <c r="DC42" s="105">
        <v>0</v>
      </c>
      <c r="DD42" s="105">
        <v>0</v>
      </c>
      <c r="DE42" s="106">
        <v>0</v>
      </c>
      <c r="DF42" s="109"/>
      <c r="DG42" s="107">
        <v>0</v>
      </c>
      <c r="DH42" s="105">
        <v>0</v>
      </c>
      <c r="DI42" s="105">
        <v>0</v>
      </c>
      <c r="DJ42" s="105">
        <v>0</v>
      </c>
      <c r="DK42" s="105">
        <v>0</v>
      </c>
      <c r="DL42" s="105">
        <v>0</v>
      </c>
      <c r="DM42" s="106">
        <v>0</v>
      </c>
    </row>
    <row r="43" spans="1:117" ht="17.25" outlineLevel="1" x14ac:dyDescent="0.4">
      <c r="A43" s="95" t="s">
        <v>163</v>
      </c>
      <c r="B43" s="42" t="s">
        <v>34</v>
      </c>
      <c r="C43" s="9"/>
      <c r="D43" s="9"/>
      <c r="E43" s="744">
        <v>0</v>
      </c>
      <c r="F43" s="9"/>
      <c r="G43" s="689">
        <f>-1.747+915</f>
        <v>913.25300000000004</v>
      </c>
      <c r="H43" s="615">
        <f>I43-G43</f>
        <v>1318.1219999999998</v>
      </c>
      <c r="I43" s="615">
        <f>21.375+2210</f>
        <v>2231.375</v>
      </c>
      <c r="J43" s="410">
        <f>K43-I43</f>
        <v>152.74099999999999</v>
      </c>
      <c r="K43" s="410">
        <f>25.116+2359</f>
        <v>2384.116</v>
      </c>
      <c r="L43" s="410">
        <f>M43-K43</f>
        <v>83.193000000000211</v>
      </c>
      <c r="M43" s="33">
        <f>-19.691+2487</f>
        <v>2467.3090000000002</v>
      </c>
      <c r="N43" s="9"/>
      <c r="O43" s="571">
        <v>51.651000000000003</v>
      </c>
      <c r="P43" s="461">
        <v>-60.651000000000003</v>
      </c>
      <c r="Q43" s="461">
        <v>-9</v>
      </c>
      <c r="R43" s="461">
        <v>880</v>
      </c>
      <c r="S43" s="461">
        <v>871</v>
      </c>
      <c r="T43" s="461">
        <v>9546</v>
      </c>
      <c r="U43" s="461">
        <v>10417</v>
      </c>
      <c r="V43" s="600"/>
      <c r="W43" s="571">
        <v>-2</v>
      </c>
      <c r="X43" s="461">
        <f t="shared" si="0"/>
        <v>-7</v>
      </c>
      <c r="Y43" s="461">
        <v>-9</v>
      </c>
      <c r="Z43" s="461">
        <f t="shared" si="0"/>
        <v>8</v>
      </c>
      <c r="AA43" s="428">
        <v>-1</v>
      </c>
      <c r="AB43" s="461">
        <f t="shared" si="0"/>
        <v>-4.4589999999999996</v>
      </c>
      <c r="AC43" s="33">
        <v>-5.4589999999999996</v>
      </c>
      <c r="AD43" s="483"/>
      <c r="AE43" s="111">
        <v>0</v>
      </c>
      <c r="AF43" s="461">
        <f t="shared" si="1"/>
        <v>0</v>
      </c>
      <c r="AG43" s="461">
        <v>0</v>
      </c>
      <c r="AH43" s="461">
        <v>0</v>
      </c>
      <c r="AI43" s="461">
        <v>0</v>
      </c>
      <c r="AJ43" s="410">
        <f t="shared" si="3"/>
        <v>-20</v>
      </c>
      <c r="AK43" s="33">
        <v>-20</v>
      </c>
      <c r="AL43" s="9"/>
      <c r="AM43" s="111">
        <v>0</v>
      </c>
      <c r="AN43" s="461">
        <v>0</v>
      </c>
      <c r="AO43" s="461">
        <v>0</v>
      </c>
      <c r="AP43" s="461">
        <v>-51</v>
      </c>
      <c r="AQ43" s="461">
        <v>-51</v>
      </c>
      <c r="AR43" s="461">
        <f t="shared" si="4"/>
        <v>59</v>
      </c>
      <c r="AS43" s="113">
        <v>8</v>
      </c>
      <c r="AT43" s="9"/>
      <c r="AU43" s="111">
        <v>0</v>
      </c>
      <c r="AV43" s="461">
        <v>0</v>
      </c>
      <c r="AW43" s="461">
        <v>0</v>
      </c>
      <c r="AX43" s="461">
        <v>-1</v>
      </c>
      <c r="AY43" s="461">
        <v>-1</v>
      </c>
      <c r="AZ43" s="461">
        <v>10</v>
      </c>
      <c r="BA43" s="113">
        <v>9</v>
      </c>
      <c r="BB43" s="9"/>
      <c r="BC43" s="111">
        <v>-2</v>
      </c>
      <c r="BD43" s="112">
        <v>0</v>
      </c>
      <c r="BE43" s="112">
        <v>-2</v>
      </c>
      <c r="BF43" s="112">
        <v>-1</v>
      </c>
      <c r="BG43" s="112">
        <v>-3</v>
      </c>
      <c r="BH43" s="112">
        <v>4</v>
      </c>
      <c r="BI43" s="113">
        <v>1</v>
      </c>
      <c r="BJ43" s="9"/>
      <c r="BK43" s="111">
        <v>0</v>
      </c>
      <c r="BL43" s="112">
        <v>0</v>
      </c>
      <c r="BM43" s="112">
        <v>0</v>
      </c>
      <c r="BN43" s="112">
        <v>0</v>
      </c>
      <c r="BO43" s="112">
        <v>0</v>
      </c>
      <c r="BP43" s="112">
        <v>0</v>
      </c>
      <c r="BQ43" s="113">
        <v>0</v>
      </c>
      <c r="BR43" s="9"/>
      <c r="BS43" s="111">
        <v>0</v>
      </c>
      <c r="BT43" s="112">
        <v>0</v>
      </c>
      <c r="BU43" s="112">
        <v>0</v>
      </c>
      <c r="BV43" s="112">
        <v>0</v>
      </c>
      <c r="BW43" s="112">
        <v>0</v>
      </c>
      <c r="BX43" s="112">
        <v>0</v>
      </c>
      <c r="BY43" s="113">
        <v>0</v>
      </c>
      <c r="BZ43" s="9"/>
      <c r="CA43" s="111">
        <v>0</v>
      </c>
      <c r="CB43" s="112">
        <v>0</v>
      </c>
      <c r="CC43" s="112">
        <v>0</v>
      </c>
      <c r="CD43" s="112">
        <v>0</v>
      </c>
      <c r="CE43" s="112">
        <v>0</v>
      </c>
      <c r="CF43" s="112">
        <v>0</v>
      </c>
      <c r="CG43" s="113">
        <v>0</v>
      </c>
      <c r="CH43" s="112"/>
      <c r="CI43" s="111">
        <v>0</v>
      </c>
      <c r="CJ43" s="112">
        <v>0</v>
      </c>
      <c r="CK43" s="112">
        <v>0</v>
      </c>
      <c r="CL43" s="112">
        <v>0</v>
      </c>
      <c r="CM43" s="112">
        <v>0</v>
      </c>
      <c r="CN43" s="112">
        <v>0</v>
      </c>
      <c r="CO43" s="113">
        <v>0</v>
      </c>
      <c r="CP43" s="109"/>
      <c r="CQ43" s="111">
        <v>0</v>
      </c>
      <c r="CR43" s="112">
        <v>0</v>
      </c>
      <c r="CS43" s="112">
        <v>0</v>
      </c>
      <c r="CT43" s="112">
        <v>0</v>
      </c>
      <c r="CU43" s="112">
        <v>0</v>
      </c>
      <c r="CV43" s="112">
        <v>0</v>
      </c>
      <c r="CW43" s="113">
        <v>0</v>
      </c>
      <c r="CX43" s="109"/>
      <c r="CY43" s="111">
        <v>0</v>
      </c>
      <c r="CZ43" s="112">
        <v>0</v>
      </c>
      <c r="DA43" s="112">
        <v>0</v>
      </c>
      <c r="DB43" s="112">
        <v>0</v>
      </c>
      <c r="DC43" s="112">
        <v>0</v>
      </c>
      <c r="DD43" s="112">
        <v>0</v>
      </c>
      <c r="DE43" s="113">
        <v>0</v>
      </c>
      <c r="DF43" s="109"/>
      <c r="DG43" s="111">
        <v>0</v>
      </c>
      <c r="DH43" s="112">
        <v>0</v>
      </c>
      <c r="DI43" s="112">
        <v>0</v>
      </c>
      <c r="DJ43" s="112">
        <v>0</v>
      </c>
      <c r="DK43" s="112">
        <v>0</v>
      </c>
      <c r="DL43" s="112">
        <v>0</v>
      </c>
      <c r="DM43" s="113">
        <v>0</v>
      </c>
    </row>
    <row r="44" spans="1:117" s="100" customFormat="1" x14ac:dyDescent="0.25">
      <c r="A44" s="95" t="s">
        <v>65</v>
      </c>
      <c r="B44" s="88" t="s">
        <v>65</v>
      </c>
      <c r="C44" s="9"/>
      <c r="D44" s="9"/>
      <c r="E44" s="705">
        <f t="shared" ref="E44" si="31">SUM(E36:E43)</f>
        <v>5092.4209999999975</v>
      </c>
      <c r="F44" s="9"/>
      <c r="G44" s="567">
        <f t="shared" ref="G44:M44" si="32">SUM(G36:G43)</f>
        <v>2563.8369999999977</v>
      </c>
      <c r="H44" s="608">
        <f>SUM(H36:H43)</f>
        <v>-6208.0230000000029</v>
      </c>
      <c r="I44" s="608">
        <f t="shared" si="32"/>
        <v>6723.806000000005</v>
      </c>
      <c r="J44" s="608">
        <f t="shared" si="32"/>
        <v>13635.067000000001</v>
      </c>
      <c r="K44" s="608">
        <f>SUM(K36:K43)-1</f>
        <v>10865.319999999994</v>
      </c>
      <c r="L44" s="608">
        <f t="shared" si="32"/>
        <v>6049.6779999999999</v>
      </c>
      <c r="M44" s="622">
        <f t="shared" si="32"/>
        <v>16915.997999999992</v>
      </c>
      <c r="N44" s="9"/>
      <c r="O44" s="567">
        <f t="shared" ref="O44:U44" si="33">SUM(O36:O43)</f>
        <v>6320.6509999999998</v>
      </c>
      <c r="P44" s="608">
        <f t="shared" si="33"/>
        <v>7565.3490000000002</v>
      </c>
      <c r="Q44" s="608">
        <f t="shared" si="33"/>
        <v>13887</v>
      </c>
      <c r="R44" s="608">
        <f t="shared" si="33"/>
        <v>8635</v>
      </c>
      <c r="S44" s="608">
        <f t="shared" si="33"/>
        <v>22522</v>
      </c>
      <c r="T44" s="608">
        <f t="shared" si="33"/>
        <v>4687</v>
      </c>
      <c r="U44" s="608">
        <f t="shared" si="33"/>
        <v>27209</v>
      </c>
      <c r="V44" s="600"/>
      <c r="W44" s="567">
        <v>7025</v>
      </c>
      <c r="X44" s="442">
        <f t="shared" si="0"/>
        <v>7684</v>
      </c>
      <c r="Y44" s="442">
        <v>14709</v>
      </c>
      <c r="Z44" s="442">
        <f t="shared" si="0"/>
        <v>6833</v>
      </c>
      <c r="AA44" s="423">
        <v>21542</v>
      </c>
      <c r="AB44" s="442">
        <f t="shared" si="0"/>
        <v>8350.2800000000025</v>
      </c>
      <c r="AC44" s="21">
        <v>29892.280000000002</v>
      </c>
      <c r="AD44" s="483"/>
      <c r="AE44" s="108">
        <f>SUM(AE36:AE43)</f>
        <v>5484</v>
      </c>
      <c r="AF44" s="442">
        <f t="shared" si="1"/>
        <v>7201</v>
      </c>
      <c r="AG44" s="442">
        <f>SUM(AG36:AG43)</f>
        <v>12685</v>
      </c>
      <c r="AH44" s="442">
        <f t="shared" ref="AH44" si="34">AI44-AG44</f>
        <v>7370</v>
      </c>
      <c r="AI44" s="442">
        <f>SUM(AI36:AI43)</f>
        <v>20055</v>
      </c>
      <c r="AJ44" s="406">
        <f t="shared" si="3"/>
        <v>4562</v>
      </c>
      <c r="AK44" s="21">
        <v>24617</v>
      </c>
      <c r="AL44" s="9"/>
      <c r="AM44" s="108">
        <f t="shared" ref="AM44:AS44" si="35">SUM(AM36:AM43)</f>
        <v>5016</v>
      </c>
      <c r="AN44" s="442">
        <f t="shared" si="35"/>
        <v>4532</v>
      </c>
      <c r="AO44" s="442">
        <f t="shared" si="35"/>
        <v>9548</v>
      </c>
      <c r="AP44" s="442">
        <f t="shared" si="35"/>
        <v>6583</v>
      </c>
      <c r="AQ44" s="442">
        <f t="shared" si="35"/>
        <v>16131</v>
      </c>
      <c r="AR44" s="442">
        <f t="shared" si="35"/>
        <v>4932</v>
      </c>
      <c r="AS44" s="104">
        <f t="shared" si="35"/>
        <v>21063</v>
      </c>
      <c r="AT44" s="9"/>
      <c r="AU44" s="108">
        <f t="shared" ref="AU44:BA44" si="36">SUM(AU36:AU43)</f>
        <v>3300</v>
      </c>
      <c r="AV44" s="442">
        <f t="shared" si="36"/>
        <v>3104</v>
      </c>
      <c r="AW44" s="442">
        <f t="shared" si="36"/>
        <v>6404</v>
      </c>
      <c r="AX44" s="442">
        <f t="shared" si="36"/>
        <v>1194</v>
      </c>
      <c r="AY44" s="442">
        <f t="shared" si="36"/>
        <v>7598</v>
      </c>
      <c r="AZ44" s="442">
        <f t="shared" si="36"/>
        <v>1189</v>
      </c>
      <c r="BA44" s="104">
        <f t="shared" si="36"/>
        <v>8787</v>
      </c>
      <c r="BB44" s="9"/>
      <c r="BC44" s="108">
        <f t="shared" ref="BC44:BI44" si="37">SUM(BC36:BC43)</f>
        <v>3085</v>
      </c>
      <c r="BD44" s="442">
        <f t="shared" si="37"/>
        <v>3828</v>
      </c>
      <c r="BE44" s="442">
        <f t="shared" si="37"/>
        <v>6913</v>
      </c>
      <c r="BF44" s="442">
        <f t="shared" si="37"/>
        <v>4322</v>
      </c>
      <c r="BG44" s="442">
        <f t="shared" si="37"/>
        <v>11235</v>
      </c>
      <c r="BH44" s="442">
        <f t="shared" si="37"/>
        <v>3641</v>
      </c>
      <c r="BI44" s="104">
        <f t="shared" si="37"/>
        <v>14876</v>
      </c>
      <c r="BJ44" s="9"/>
      <c r="BK44" s="108">
        <f t="shared" ref="BK44:BQ44" si="38">SUM(BK36:BK43)</f>
        <v>3273</v>
      </c>
      <c r="BL44" s="442">
        <f t="shared" si="38"/>
        <v>4557</v>
      </c>
      <c r="BM44" s="442">
        <f t="shared" si="38"/>
        <v>7830</v>
      </c>
      <c r="BN44" s="442">
        <f t="shared" si="38"/>
        <v>3900</v>
      </c>
      <c r="BO44" s="442">
        <f t="shared" si="38"/>
        <v>11730</v>
      </c>
      <c r="BP44" s="442">
        <f t="shared" si="38"/>
        <v>1746</v>
      </c>
      <c r="BQ44" s="104">
        <f t="shared" si="38"/>
        <v>13476</v>
      </c>
      <c r="BR44" s="9"/>
      <c r="BS44" s="108">
        <f t="shared" ref="BS44:BY44" si="39">SUM(BS36:BS43)</f>
        <v>2565</v>
      </c>
      <c r="BT44" s="442">
        <f t="shared" si="39"/>
        <v>3359</v>
      </c>
      <c r="BU44" s="442">
        <f t="shared" si="39"/>
        <v>5924</v>
      </c>
      <c r="BV44" s="442">
        <f t="shared" si="39"/>
        <v>3500</v>
      </c>
      <c r="BW44" s="442">
        <f t="shared" si="39"/>
        <v>9424</v>
      </c>
      <c r="BX44" s="442">
        <f t="shared" si="39"/>
        <v>364</v>
      </c>
      <c r="BY44" s="104">
        <f t="shared" si="39"/>
        <v>9788</v>
      </c>
      <c r="BZ44" s="9"/>
      <c r="CA44" s="108">
        <f t="shared" ref="CA44:CG44" si="40">SUM(CA36:CA43)</f>
        <v>2917</v>
      </c>
      <c r="CB44" s="442">
        <f t="shared" si="40"/>
        <v>4664</v>
      </c>
      <c r="CC44" s="442">
        <f t="shared" si="40"/>
        <v>7581</v>
      </c>
      <c r="CD44" s="442">
        <f t="shared" si="40"/>
        <v>3215</v>
      </c>
      <c r="CE44" s="442">
        <f t="shared" si="40"/>
        <v>10796</v>
      </c>
      <c r="CF44" s="442">
        <f t="shared" si="40"/>
        <v>1514</v>
      </c>
      <c r="CG44" s="104">
        <f t="shared" si="40"/>
        <v>12310</v>
      </c>
      <c r="CH44" s="103"/>
      <c r="CI44" s="108">
        <f t="shared" ref="CI44:CO44" si="41">SUM(CI36:CI43)</f>
        <v>3972</v>
      </c>
      <c r="CJ44" s="442">
        <f t="shared" si="41"/>
        <v>3934</v>
      </c>
      <c r="CK44" s="442">
        <f t="shared" si="41"/>
        <v>7906</v>
      </c>
      <c r="CL44" s="442">
        <f t="shared" si="41"/>
        <v>5286</v>
      </c>
      <c r="CM44" s="442">
        <f t="shared" si="41"/>
        <v>13192</v>
      </c>
      <c r="CN44" s="442">
        <f t="shared" si="41"/>
        <v>3293</v>
      </c>
      <c r="CO44" s="104">
        <f t="shared" si="41"/>
        <v>16485</v>
      </c>
      <c r="CP44" s="109"/>
      <c r="CQ44" s="108">
        <f t="shared" ref="CQ44:CW44" si="42">SUM(CQ36:CQ43)</f>
        <v>3557</v>
      </c>
      <c r="CR44" s="442">
        <f t="shared" si="42"/>
        <v>4779</v>
      </c>
      <c r="CS44" s="442">
        <f t="shared" si="42"/>
        <v>8336</v>
      </c>
      <c r="CT44" s="442">
        <f t="shared" si="42"/>
        <v>4333</v>
      </c>
      <c r="CU44" s="442">
        <f t="shared" si="42"/>
        <v>12669</v>
      </c>
      <c r="CV44" s="442">
        <f t="shared" si="42"/>
        <v>3154</v>
      </c>
      <c r="CW44" s="104">
        <f t="shared" si="42"/>
        <v>15823</v>
      </c>
      <c r="CX44" s="109"/>
      <c r="CY44" s="108">
        <f t="shared" ref="CY44:DE44" si="43">SUM(CY36:CY43)</f>
        <v>3618</v>
      </c>
      <c r="CZ44" s="442">
        <f t="shared" si="43"/>
        <v>5279</v>
      </c>
      <c r="DA44" s="442">
        <f t="shared" si="43"/>
        <v>8897</v>
      </c>
      <c r="DB44" s="442">
        <f t="shared" si="43"/>
        <v>4757</v>
      </c>
      <c r="DC44" s="442">
        <f t="shared" si="43"/>
        <v>13654</v>
      </c>
      <c r="DD44" s="442">
        <f t="shared" si="43"/>
        <v>3540</v>
      </c>
      <c r="DE44" s="104">
        <f t="shared" si="43"/>
        <v>17194</v>
      </c>
      <c r="DF44" s="109"/>
      <c r="DG44" s="108">
        <f t="shared" ref="DG44:DM44" si="44">SUM(DG36:DG43)</f>
        <v>1650</v>
      </c>
      <c r="DH44" s="442">
        <f t="shared" si="44"/>
        <v>4403</v>
      </c>
      <c r="DI44" s="442">
        <f t="shared" si="44"/>
        <v>6053</v>
      </c>
      <c r="DJ44" s="442">
        <f t="shared" si="44"/>
        <v>4129</v>
      </c>
      <c r="DK44" s="442">
        <f t="shared" si="44"/>
        <v>10182</v>
      </c>
      <c r="DL44" s="442">
        <f t="shared" si="44"/>
        <v>3315</v>
      </c>
      <c r="DM44" s="104">
        <f t="shared" si="44"/>
        <v>13497</v>
      </c>
    </row>
    <row r="45" spans="1:117" x14ac:dyDescent="0.25">
      <c r="B45" s="42"/>
      <c r="C45" s="9"/>
      <c r="D45" s="9"/>
      <c r="E45" s="730"/>
      <c r="F45" s="9"/>
      <c r="G45" s="572"/>
      <c r="H45" s="445"/>
      <c r="I45" s="445"/>
      <c r="J45" s="445"/>
      <c r="K45" s="445"/>
      <c r="L45" s="406"/>
      <c r="M45" s="21"/>
      <c r="N45" s="9"/>
      <c r="O45" s="572"/>
      <c r="P45" s="445"/>
      <c r="Q45" s="445"/>
      <c r="R45" s="445"/>
      <c r="S45" s="445"/>
      <c r="T45" s="406"/>
      <c r="U45" s="21"/>
      <c r="V45" s="600"/>
      <c r="W45" s="572"/>
      <c r="X45" s="445"/>
      <c r="Y45" s="445"/>
      <c r="Z45" s="445"/>
      <c r="AA45" s="423"/>
      <c r="AB45" s="406"/>
      <c r="AC45" s="21"/>
      <c r="AD45" s="483"/>
      <c r="AE45" s="446"/>
      <c r="AF45" s="445"/>
      <c r="AG45" s="445"/>
      <c r="AH45" s="445"/>
      <c r="AI45" s="445"/>
      <c r="AJ45" s="406"/>
      <c r="AK45" s="21">
        <v>0</v>
      </c>
      <c r="AL45" s="9"/>
      <c r="AM45" s="446"/>
      <c r="AN45" s="445"/>
      <c r="AO45" s="445"/>
      <c r="AP45" s="445"/>
      <c r="AQ45" s="445"/>
      <c r="AR45" s="445"/>
      <c r="AS45" s="492"/>
      <c r="AT45" s="9"/>
      <c r="AU45" s="446"/>
      <c r="AV45" s="442"/>
      <c r="AW45" s="442"/>
      <c r="AX45" s="442"/>
      <c r="AY45" s="442"/>
      <c r="AZ45" s="442"/>
      <c r="BA45" s="104"/>
      <c r="BB45" s="9"/>
      <c r="BC45" s="108"/>
      <c r="BD45" s="103"/>
      <c r="BE45" s="103"/>
      <c r="BF45" s="103"/>
      <c r="BG45" s="103"/>
      <c r="BH45" s="103"/>
      <c r="BI45" s="104"/>
      <c r="BJ45" s="9"/>
      <c r="BK45" s="108"/>
      <c r="BL45" s="103"/>
      <c r="BM45" s="103"/>
      <c r="BN45" s="103"/>
      <c r="BO45" s="103"/>
      <c r="BP45" s="103"/>
      <c r="BQ45" s="104"/>
      <c r="BR45" s="9"/>
      <c r="BS45" s="108"/>
      <c r="BT45" s="103"/>
      <c r="BU45" s="103"/>
      <c r="BV45" s="103"/>
      <c r="BW45" s="103"/>
      <c r="BX45" s="103"/>
      <c r="BY45" s="104"/>
      <c r="BZ45" s="9"/>
      <c r="CA45" s="108"/>
      <c r="CB45" s="103"/>
      <c r="CC45" s="103"/>
      <c r="CD45" s="103"/>
      <c r="CE45" s="103"/>
      <c r="CF45" s="103"/>
      <c r="CG45" s="104"/>
      <c r="CH45" s="103"/>
      <c r="CI45" s="108"/>
      <c r="CJ45" s="103"/>
      <c r="CK45" s="103"/>
      <c r="CL45" s="103"/>
      <c r="CM45" s="103"/>
      <c r="CN45" s="103"/>
      <c r="CO45" s="104"/>
      <c r="CP45" s="77"/>
      <c r="CQ45" s="108"/>
      <c r="CR45" s="110"/>
      <c r="CS45" s="110"/>
      <c r="CT45" s="110"/>
      <c r="CU45" s="110"/>
      <c r="CV45" s="110"/>
      <c r="CW45" s="120"/>
      <c r="CX45" s="77"/>
      <c r="CY45" s="108"/>
      <c r="CZ45" s="110"/>
      <c r="DA45" s="110"/>
      <c r="DB45" s="110"/>
      <c r="DC45" s="110"/>
      <c r="DD45" s="110"/>
      <c r="DE45" s="120"/>
      <c r="DF45" s="77"/>
      <c r="DG45" s="108"/>
      <c r="DH45" s="110"/>
      <c r="DI45" s="110"/>
      <c r="DJ45" s="110"/>
      <c r="DK45" s="110"/>
      <c r="DL45" s="110"/>
      <c r="DM45" s="120"/>
    </row>
    <row r="46" spans="1:117" ht="17.25" x14ac:dyDescent="0.4">
      <c r="B46" s="42"/>
      <c r="C46" s="9"/>
      <c r="D46" s="9"/>
      <c r="E46" s="730"/>
      <c r="F46" s="9"/>
      <c r="G46" s="572"/>
      <c r="H46" s="445"/>
      <c r="I46" s="445"/>
      <c r="J46" s="445"/>
      <c r="K46" s="445"/>
      <c r="L46" s="406"/>
      <c r="M46" s="21"/>
      <c r="N46" s="9"/>
      <c r="O46" s="572"/>
      <c r="P46" s="445"/>
      <c r="Q46" s="445"/>
      <c r="R46" s="445"/>
      <c r="S46" s="445"/>
      <c r="T46" s="406"/>
      <c r="U46" s="21"/>
      <c r="V46" s="600"/>
      <c r="W46" s="572"/>
      <c r="X46" s="445"/>
      <c r="Y46" s="445"/>
      <c r="Z46" s="445"/>
      <c r="AA46" s="470"/>
      <c r="AB46" s="406"/>
      <c r="AC46" s="21"/>
      <c r="AD46" s="483"/>
      <c r="AE46" s="446"/>
      <c r="AF46" s="445"/>
      <c r="AG46" s="445"/>
      <c r="AH46" s="445"/>
      <c r="AI46" s="461"/>
      <c r="AJ46" s="406"/>
      <c r="AK46" s="21">
        <v>0</v>
      </c>
      <c r="AL46" s="9"/>
      <c r="AM46" s="446"/>
      <c r="AN46" s="445"/>
      <c r="AO46" s="445"/>
      <c r="AP46" s="445"/>
      <c r="AQ46" s="445"/>
      <c r="AR46" s="445"/>
      <c r="AS46" s="492"/>
      <c r="AT46" s="9"/>
      <c r="AU46" s="446"/>
      <c r="AV46" s="442"/>
      <c r="AW46" s="442"/>
      <c r="AX46" s="442"/>
      <c r="AY46" s="442"/>
      <c r="AZ46" s="442"/>
      <c r="BA46" s="104"/>
      <c r="BB46" s="9"/>
      <c r="BC46" s="108"/>
      <c r="BD46" s="103"/>
      <c r="BE46" s="103"/>
      <c r="BF46" s="103"/>
      <c r="BG46" s="103"/>
      <c r="BH46" s="103"/>
      <c r="BI46" s="104"/>
      <c r="BJ46" s="9"/>
      <c r="BK46" s="108"/>
      <c r="BL46" s="103"/>
      <c r="BM46" s="103"/>
      <c r="BN46" s="103"/>
      <c r="BO46" s="103"/>
      <c r="BP46" s="103"/>
      <c r="BQ46" s="104"/>
      <c r="BR46" s="9"/>
      <c r="BS46" s="108"/>
      <c r="BT46" s="103"/>
      <c r="BU46" s="103"/>
      <c r="BV46" s="103"/>
      <c r="BW46" s="103"/>
      <c r="BX46" s="103"/>
      <c r="BY46" s="104"/>
      <c r="BZ46" s="9"/>
      <c r="CA46" s="108"/>
      <c r="CB46" s="103"/>
      <c r="CC46" s="103"/>
      <c r="CD46" s="103"/>
      <c r="CE46" s="103"/>
      <c r="CF46" s="103"/>
      <c r="CG46" s="104"/>
      <c r="CH46" s="103"/>
      <c r="CI46" s="108"/>
      <c r="CJ46" s="103"/>
      <c r="CK46" s="103"/>
      <c r="CL46" s="103"/>
      <c r="CM46" s="103"/>
      <c r="CN46" s="103"/>
      <c r="CO46" s="104"/>
      <c r="CP46" s="77"/>
      <c r="CQ46" s="108"/>
      <c r="CR46" s="110"/>
      <c r="CS46" s="110"/>
      <c r="CT46" s="110"/>
      <c r="CU46" s="110"/>
      <c r="CV46" s="110"/>
      <c r="CW46" s="120"/>
      <c r="CX46" s="77"/>
      <c r="CY46" s="108"/>
      <c r="CZ46" s="110"/>
      <c r="DA46" s="110"/>
      <c r="DB46" s="110"/>
      <c r="DC46" s="110"/>
      <c r="DD46" s="110"/>
      <c r="DE46" s="120"/>
      <c r="DF46" s="77"/>
      <c r="DG46" s="108"/>
      <c r="DH46" s="110"/>
      <c r="DI46" s="110"/>
      <c r="DJ46" s="110"/>
      <c r="DK46" s="110"/>
      <c r="DL46" s="110"/>
      <c r="DM46" s="120"/>
    </row>
    <row r="47" spans="1:117" s="100" customFormat="1" x14ac:dyDescent="0.25">
      <c r="A47" s="95" t="s">
        <v>221</v>
      </c>
      <c r="B47" s="88" t="s">
        <v>25</v>
      </c>
      <c r="C47" s="9"/>
      <c r="D47" s="9"/>
      <c r="E47" s="730">
        <v>191124.09899999999</v>
      </c>
      <c r="F47" s="9"/>
      <c r="G47" s="572">
        <v>190714.92800000001</v>
      </c>
      <c r="H47" s="445"/>
      <c r="I47" s="445">
        <v>191467.033</v>
      </c>
      <c r="J47" s="445"/>
      <c r="K47" s="445">
        <v>188511.25599999999</v>
      </c>
      <c r="L47" s="406"/>
      <c r="M47" s="492">
        <v>190550.49100000001</v>
      </c>
      <c r="N47" s="9"/>
      <c r="O47" s="572">
        <v>175939</v>
      </c>
      <c r="P47" s="445"/>
      <c r="Q47" s="445">
        <v>185979</v>
      </c>
      <c r="R47" s="445"/>
      <c r="S47" s="445">
        <v>194752</v>
      </c>
      <c r="T47" s="406"/>
      <c r="U47" s="445">
        <v>189682</v>
      </c>
      <c r="V47" s="600"/>
      <c r="W47" s="572">
        <v>170701</v>
      </c>
      <c r="X47" s="445"/>
      <c r="Y47" s="445">
        <v>168739</v>
      </c>
      <c r="Z47" s="445"/>
      <c r="AA47" s="423">
        <v>173497.40400000001</v>
      </c>
      <c r="AB47" s="406"/>
      <c r="AC47" s="21">
        <v>175574.11900000001</v>
      </c>
      <c r="AD47" s="483"/>
      <c r="AE47" s="446">
        <v>159846</v>
      </c>
      <c r="AF47" s="445">
        <v>163043</v>
      </c>
      <c r="AG47" s="445"/>
      <c r="AH47" s="445"/>
      <c r="AI47" s="445">
        <v>163241</v>
      </c>
      <c r="AJ47" s="406"/>
      <c r="AK47" s="21">
        <v>167542</v>
      </c>
      <c r="AL47" s="9"/>
      <c r="AM47" s="446">
        <v>155351</v>
      </c>
      <c r="AN47" s="445">
        <v>153926</v>
      </c>
      <c r="AO47" s="445"/>
      <c r="AP47" s="445">
        <v>157740</v>
      </c>
      <c r="AQ47" s="445"/>
      <c r="AR47" s="445">
        <v>160702</v>
      </c>
      <c r="AS47" s="492"/>
      <c r="AT47" s="9"/>
      <c r="AU47" s="446">
        <v>118176</v>
      </c>
      <c r="AV47" s="442">
        <v>115962</v>
      </c>
      <c r="AW47" s="442"/>
      <c r="AX47" s="442">
        <v>113777</v>
      </c>
      <c r="AY47" s="442"/>
      <c r="AZ47" s="442">
        <v>115518</v>
      </c>
      <c r="BA47" s="104"/>
      <c r="BB47" s="9"/>
      <c r="BC47" s="108">
        <v>123109</v>
      </c>
      <c r="BD47" s="103">
        <v>117561</v>
      </c>
      <c r="BE47" s="103"/>
      <c r="BF47" s="103">
        <v>119244</v>
      </c>
      <c r="BG47" s="103"/>
      <c r="BH47" s="103">
        <v>118152</v>
      </c>
      <c r="BI47" s="104"/>
      <c r="BJ47" s="9"/>
      <c r="BK47" s="108">
        <v>111291</v>
      </c>
      <c r="BL47" s="103">
        <v>110533</v>
      </c>
      <c r="BM47" s="103"/>
      <c r="BN47" s="103">
        <v>111762</v>
      </c>
      <c r="BO47" s="103"/>
      <c r="BP47" s="103">
        <v>109345</v>
      </c>
      <c r="BQ47" s="104"/>
      <c r="BR47" s="9"/>
      <c r="BS47" s="108">
        <v>107282</v>
      </c>
      <c r="BT47" s="103">
        <v>109378</v>
      </c>
      <c r="BU47" s="103"/>
      <c r="BV47" s="103">
        <v>111183</v>
      </c>
      <c r="BW47" s="103"/>
      <c r="BX47" s="103">
        <v>108421</v>
      </c>
      <c r="BY47" s="104"/>
      <c r="BZ47" s="9"/>
      <c r="CA47" s="108">
        <v>138610</v>
      </c>
      <c r="CB47" s="103">
        <v>134920</v>
      </c>
      <c r="CC47" s="103"/>
      <c r="CD47" s="103">
        <v>132818</v>
      </c>
      <c r="CE47" s="103"/>
      <c r="CF47" s="103">
        <v>114914</v>
      </c>
      <c r="CG47" s="104"/>
      <c r="CH47" s="103"/>
      <c r="CI47" s="108">
        <v>145710</v>
      </c>
      <c r="CJ47" s="103">
        <v>147094</v>
      </c>
      <c r="CK47" s="103"/>
      <c r="CL47" s="103">
        <v>146786</v>
      </c>
      <c r="CM47" s="103"/>
      <c r="CN47" s="103">
        <v>138985</v>
      </c>
      <c r="CO47" s="104"/>
      <c r="CP47" s="89"/>
      <c r="CQ47" s="108">
        <v>152741</v>
      </c>
      <c r="CR47" s="118">
        <v>153157</v>
      </c>
      <c r="CS47" s="118"/>
      <c r="CT47" s="118">
        <v>150369</v>
      </c>
      <c r="CU47" s="118"/>
      <c r="CV47" s="118">
        <v>144812</v>
      </c>
      <c r="CW47" s="119"/>
      <c r="CX47" s="89"/>
      <c r="CY47" s="108">
        <v>156319</v>
      </c>
      <c r="CZ47" s="118">
        <v>157019</v>
      </c>
      <c r="DA47" s="118"/>
      <c r="DB47" s="118">
        <v>156856</v>
      </c>
      <c r="DC47" s="118"/>
      <c r="DD47" s="118">
        <v>153727</v>
      </c>
      <c r="DE47" s="119"/>
      <c r="DF47" s="89"/>
      <c r="DG47" s="108">
        <v>169114</v>
      </c>
      <c r="DH47" s="118">
        <v>166151</v>
      </c>
      <c r="DI47" s="118"/>
      <c r="DJ47" s="118">
        <v>160079</v>
      </c>
      <c r="DK47" s="118"/>
      <c r="DL47" s="118">
        <v>155902</v>
      </c>
      <c r="DM47" s="119"/>
    </row>
    <row r="48" spans="1:117" s="100" customFormat="1" ht="7.5" customHeight="1" x14ac:dyDescent="0.25">
      <c r="A48" s="95"/>
      <c r="B48" s="88"/>
      <c r="C48" s="9"/>
      <c r="D48" s="9"/>
      <c r="E48" s="730"/>
      <c r="F48" s="9"/>
      <c r="G48" s="572"/>
      <c r="H48" s="445"/>
      <c r="I48" s="445"/>
      <c r="J48" s="445"/>
      <c r="K48" s="445"/>
      <c r="L48" s="406"/>
      <c r="M48" s="492"/>
      <c r="N48" s="9"/>
      <c r="O48" s="572"/>
      <c r="P48" s="445"/>
      <c r="Q48" s="445"/>
      <c r="R48" s="445"/>
      <c r="S48" s="445"/>
      <c r="T48" s="406"/>
      <c r="U48" s="445"/>
      <c r="V48" s="600"/>
      <c r="W48" s="572"/>
      <c r="X48" s="445"/>
      <c r="Y48" s="445"/>
      <c r="Z48" s="445"/>
      <c r="AA48" s="423"/>
      <c r="AB48" s="406"/>
      <c r="AC48" s="21"/>
      <c r="AD48" s="483"/>
      <c r="AE48" s="446"/>
      <c r="AF48" s="445"/>
      <c r="AG48" s="445"/>
      <c r="AH48" s="445"/>
      <c r="AI48" s="445"/>
      <c r="AJ48" s="406"/>
      <c r="AK48" s="21">
        <v>0</v>
      </c>
      <c r="AL48" s="9"/>
      <c r="AM48" s="446"/>
      <c r="AN48" s="445"/>
      <c r="AO48" s="445"/>
      <c r="AP48" s="445"/>
      <c r="AQ48" s="445"/>
      <c r="AR48" s="445"/>
      <c r="AS48" s="492"/>
      <c r="AT48" s="9"/>
      <c r="AU48" s="446"/>
      <c r="AV48" s="442"/>
      <c r="AW48" s="442"/>
      <c r="AX48" s="442"/>
      <c r="AY48" s="442"/>
      <c r="AZ48" s="442"/>
      <c r="BA48" s="104"/>
      <c r="BB48" s="9"/>
      <c r="BC48" s="108"/>
      <c r="BD48" s="103"/>
      <c r="BE48" s="103"/>
      <c r="BF48" s="103"/>
      <c r="BG48" s="103"/>
      <c r="BH48" s="103"/>
      <c r="BI48" s="104"/>
      <c r="BJ48" s="9"/>
      <c r="BK48" s="108"/>
      <c r="BL48" s="103"/>
      <c r="BM48" s="103"/>
      <c r="BN48" s="103"/>
      <c r="BO48" s="103"/>
      <c r="BP48" s="103"/>
      <c r="BQ48" s="104"/>
      <c r="BR48" s="9"/>
      <c r="BS48" s="108"/>
      <c r="BT48" s="103"/>
      <c r="BU48" s="103"/>
      <c r="BV48" s="103"/>
      <c r="BW48" s="103"/>
      <c r="BX48" s="103"/>
      <c r="BY48" s="104"/>
      <c r="BZ48" s="9"/>
      <c r="CA48" s="108"/>
      <c r="CB48" s="103"/>
      <c r="CC48" s="103"/>
      <c r="CD48" s="103"/>
      <c r="CE48" s="103"/>
      <c r="CF48" s="103"/>
      <c r="CG48" s="104"/>
      <c r="CH48" s="103"/>
      <c r="CI48" s="108"/>
      <c r="CJ48" s="103"/>
      <c r="CK48" s="103"/>
      <c r="CL48" s="103"/>
      <c r="CM48" s="103"/>
      <c r="CN48" s="103"/>
      <c r="CO48" s="104"/>
      <c r="CP48" s="89"/>
      <c r="CQ48" s="108"/>
      <c r="CR48" s="118"/>
      <c r="CS48" s="118"/>
      <c r="CT48" s="109"/>
      <c r="CU48" s="118"/>
      <c r="CV48" s="118"/>
      <c r="CW48" s="119"/>
      <c r="CX48" s="89"/>
      <c r="CY48" s="108"/>
      <c r="CZ48" s="118"/>
      <c r="DA48" s="118"/>
      <c r="DB48" s="109"/>
      <c r="DC48" s="118"/>
      <c r="DD48" s="118"/>
      <c r="DE48" s="119"/>
      <c r="DF48" s="89"/>
      <c r="DG48" s="108"/>
      <c r="DH48" s="118"/>
      <c r="DI48" s="118"/>
      <c r="DJ48" s="109"/>
      <c r="DK48" s="118"/>
      <c r="DL48" s="118"/>
      <c r="DM48" s="119"/>
    </row>
    <row r="49" spans="1:117" outlineLevel="1" x14ac:dyDescent="0.25">
      <c r="A49" s="95" t="s">
        <v>222</v>
      </c>
      <c r="B49" s="42" t="s">
        <v>26</v>
      </c>
      <c r="C49" s="9"/>
      <c r="D49" s="9"/>
      <c r="E49" s="745">
        <v>91841.234599999996</v>
      </c>
      <c r="F49" s="9"/>
      <c r="G49" s="573">
        <v>88445.411599999992</v>
      </c>
      <c r="H49" s="512"/>
      <c r="I49" s="445">
        <v>87564.422599999991</v>
      </c>
      <c r="J49" s="512"/>
      <c r="K49" s="445">
        <v>87202.484599999996</v>
      </c>
      <c r="L49" s="408"/>
      <c r="M49" s="492">
        <v>90683.255600000004</v>
      </c>
      <c r="N49" s="9"/>
      <c r="O49" s="573">
        <v>67769</v>
      </c>
      <c r="P49" s="512"/>
      <c r="Q49" s="445">
        <v>69028</v>
      </c>
      <c r="R49" s="512"/>
      <c r="S49" s="445">
        <v>69434</v>
      </c>
      <c r="T49" s="408"/>
      <c r="U49" s="445">
        <v>75708</v>
      </c>
      <c r="V49" s="600"/>
      <c r="W49" s="573">
        <v>69927</v>
      </c>
      <c r="X49" s="512"/>
      <c r="Y49" s="445">
        <v>64665</v>
      </c>
      <c r="Z49" s="512"/>
      <c r="AA49" s="423">
        <v>65738</v>
      </c>
      <c r="AB49" s="408"/>
      <c r="AC49" s="29">
        <v>65302.476999999999</v>
      </c>
      <c r="AD49" s="483"/>
      <c r="AE49" s="511">
        <v>70251</v>
      </c>
      <c r="AF49" s="512">
        <v>70212</v>
      </c>
      <c r="AG49" s="445"/>
      <c r="AH49" s="512"/>
      <c r="AI49" s="512">
        <v>68726</v>
      </c>
      <c r="AJ49" s="408"/>
      <c r="AK49" s="29">
        <v>68143</v>
      </c>
      <c r="AL49" s="9"/>
      <c r="AM49" s="511">
        <v>76567</v>
      </c>
      <c r="AN49" s="512">
        <v>65410</v>
      </c>
      <c r="AO49" s="512"/>
      <c r="AP49" s="512">
        <v>70727</v>
      </c>
      <c r="AQ49" s="512"/>
      <c r="AR49" s="512">
        <v>69006</v>
      </c>
      <c r="AS49" s="492"/>
      <c r="AT49" s="9"/>
      <c r="AU49" s="446">
        <v>76753</v>
      </c>
      <c r="AV49" s="441">
        <v>74011</v>
      </c>
      <c r="AW49" s="441"/>
      <c r="AX49" s="441">
        <v>74331</v>
      </c>
      <c r="AY49" s="441"/>
      <c r="AZ49" s="441">
        <v>75915</v>
      </c>
      <c r="BA49" s="106"/>
      <c r="BB49" s="9"/>
      <c r="BC49" s="107">
        <v>77056</v>
      </c>
      <c r="BD49" s="105">
        <v>74571</v>
      </c>
      <c r="BE49" s="105"/>
      <c r="BF49" s="105">
        <v>75669</v>
      </c>
      <c r="BG49" s="105"/>
      <c r="BH49" s="105">
        <v>73831</v>
      </c>
      <c r="BI49" s="106"/>
      <c r="BJ49" s="9"/>
      <c r="BK49" s="107">
        <v>73375</v>
      </c>
      <c r="BL49" s="105">
        <v>71838</v>
      </c>
      <c r="BM49" s="105"/>
      <c r="BN49" s="105">
        <v>72668</v>
      </c>
      <c r="BO49" s="105"/>
      <c r="BP49" s="105">
        <v>72944</v>
      </c>
      <c r="BQ49" s="106"/>
      <c r="BR49" s="9"/>
      <c r="BS49" s="107">
        <v>72493</v>
      </c>
      <c r="BT49" s="105">
        <v>72401</v>
      </c>
      <c r="BU49" s="105"/>
      <c r="BV49" s="105">
        <v>72875</v>
      </c>
      <c r="BW49" s="105"/>
      <c r="BX49" s="105">
        <v>70641</v>
      </c>
      <c r="BY49" s="106"/>
      <c r="BZ49" s="9"/>
      <c r="CA49" s="107">
        <v>71371</v>
      </c>
      <c r="CB49" s="105">
        <v>69064</v>
      </c>
      <c r="CC49" s="105"/>
      <c r="CD49" s="105">
        <v>68227</v>
      </c>
      <c r="CE49" s="105"/>
      <c r="CF49" s="105">
        <v>68440</v>
      </c>
      <c r="CG49" s="106"/>
      <c r="CH49" s="105"/>
      <c r="CI49" s="107">
        <v>74565</v>
      </c>
      <c r="CJ49" s="105">
        <v>73170</v>
      </c>
      <c r="CK49" s="105"/>
      <c r="CL49" s="105">
        <v>73792</v>
      </c>
      <c r="CM49" s="105"/>
      <c r="CN49" s="105">
        <v>71048</v>
      </c>
      <c r="CO49" s="106"/>
      <c r="CP49" s="77"/>
      <c r="CQ49" s="107">
        <v>77877</v>
      </c>
      <c r="CR49" s="116">
        <v>77285</v>
      </c>
      <c r="CS49" s="105"/>
      <c r="CT49" s="116">
        <v>75598</v>
      </c>
      <c r="CU49" s="105"/>
      <c r="CV49" s="116">
        <v>73504</v>
      </c>
      <c r="CW49" s="106"/>
      <c r="CX49" s="77"/>
      <c r="CY49" s="107">
        <v>81159</v>
      </c>
      <c r="CZ49" s="116">
        <v>80865</v>
      </c>
      <c r="DA49" s="105"/>
      <c r="DB49" s="116">
        <v>77777</v>
      </c>
      <c r="DC49" s="105"/>
      <c r="DD49" s="116">
        <v>77545</v>
      </c>
      <c r="DE49" s="106"/>
      <c r="DF49" s="77"/>
      <c r="DG49" s="107">
        <v>84342</v>
      </c>
      <c r="DH49" s="116">
        <v>83569</v>
      </c>
      <c r="DI49" s="105"/>
      <c r="DJ49" s="116">
        <v>81799</v>
      </c>
      <c r="DK49" s="105"/>
      <c r="DL49" s="116">
        <v>79008</v>
      </c>
      <c r="DM49" s="106"/>
    </row>
    <row r="50" spans="1:117" s="158" customFormat="1" ht="15" customHeight="1" outlineLevel="1" x14ac:dyDescent="0.4">
      <c r="A50" s="95"/>
      <c r="B50" s="42" t="s">
        <v>28</v>
      </c>
      <c r="C50" s="283"/>
      <c r="D50" s="283"/>
      <c r="E50" s="746">
        <v>37698.334569999992</v>
      </c>
      <c r="F50" s="283"/>
      <c r="G50" s="574">
        <v>36853.186569999991</v>
      </c>
      <c r="H50" s="514"/>
      <c r="I50" s="541">
        <v>50058.333569999988</v>
      </c>
      <c r="J50" s="514"/>
      <c r="K50" s="541">
        <v>39701.834569999992</v>
      </c>
      <c r="L50" s="409"/>
      <c r="M50" s="493">
        <v>37610.262569999977</v>
      </c>
      <c r="N50" s="283"/>
      <c r="O50" s="574">
        <v>37768</v>
      </c>
      <c r="P50" s="514"/>
      <c r="Q50" s="541">
        <v>45511</v>
      </c>
      <c r="R50" s="514"/>
      <c r="S50" s="541">
        <v>49121</v>
      </c>
      <c r="T50" s="409"/>
      <c r="U50" s="541">
        <v>49132</v>
      </c>
      <c r="V50" s="601"/>
      <c r="W50" s="574">
        <v>38731</v>
      </c>
      <c r="X50" s="514"/>
      <c r="Y50" s="541">
        <v>39522</v>
      </c>
      <c r="Z50" s="514"/>
      <c r="AA50" s="428">
        <f>AA51-AA49</f>
        <v>42106.39503</v>
      </c>
      <c r="AB50" s="409"/>
      <c r="AC50" s="162">
        <v>39505.067030000006</v>
      </c>
      <c r="AD50" s="483"/>
      <c r="AE50" s="513">
        <v>35516</v>
      </c>
      <c r="AF50" s="514">
        <v>36290</v>
      </c>
      <c r="AG50" s="541"/>
      <c r="AH50" s="514"/>
      <c r="AI50" s="514">
        <v>36050</v>
      </c>
      <c r="AJ50" s="409"/>
      <c r="AK50" s="162">
        <v>39602</v>
      </c>
      <c r="AL50" s="283"/>
      <c r="AM50" s="513">
        <v>30679</v>
      </c>
      <c r="AN50" s="514">
        <v>39266</v>
      </c>
      <c r="AO50" s="514"/>
      <c r="AP50" s="514">
        <v>35864</v>
      </c>
      <c r="AQ50" s="514"/>
      <c r="AR50" s="514">
        <v>39090</v>
      </c>
      <c r="AS50" s="493"/>
      <c r="AT50" s="283"/>
      <c r="AU50" s="447">
        <v>28967</v>
      </c>
      <c r="AV50" s="460">
        <v>28865</v>
      </c>
      <c r="AW50" s="460"/>
      <c r="AX50" s="460">
        <v>28668</v>
      </c>
      <c r="AY50" s="460"/>
      <c r="AZ50" s="460">
        <v>28491</v>
      </c>
      <c r="BA50" s="156"/>
      <c r="BB50" s="283"/>
      <c r="BC50" s="154">
        <v>34049</v>
      </c>
      <c r="BD50" s="155">
        <v>32282</v>
      </c>
      <c r="BE50" s="155"/>
      <c r="BF50" s="155">
        <v>34300</v>
      </c>
      <c r="BG50" s="155"/>
      <c r="BH50" s="155">
        <v>32383</v>
      </c>
      <c r="BI50" s="156"/>
      <c r="BJ50" s="283"/>
      <c r="BK50" s="154">
        <v>23696</v>
      </c>
      <c r="BL50" s="155">
        <v>26456</v>
      </c>
      <c r="BM50" s="155"/>
      <c r="BN50" s="155">
        <v>26355</v>
      </c>
      <c r="BO50" s="155"/>
      <c r="BP50" s="155">
        <v>24919</v>
      </c>
      <c r="BQ50" s="156"/>
      <c r="BR50" s="283"/>
      <c r="BS50" s="154">
        <v>23503</v>
      </c>
      <c r="BT50" s="155">
        <v>24914</v>
      </c>
      <c r="BU50" s="155"/>
      <c r="BV50" s="155">
        <v>25148</v>
      </c>
      <c r="BW50" s="155"/>
      <c r="BX50" s="155">
        <v>24973</v>
      </c>
      <c r="BY50" s="156"/>
      <c r="BZ50" s="283"/>
      <c r="CA50" s="154">
        <v>23067</v>
      </c>
      <c r="CB50" s="155">
        <v>21790</v>
      </c>
      <c r="CC50" s="155"/>
      <c r="CD50" s="155">
        <v>24391</v>
      </c>
      <c r="CE50" s="155"/>
      <c r="CF50" s="155">
        <v>24993</v>
      </c>
      <c r="CG50" s="156"/>
      <c r="CH50" s="155"/>
      <c r="CI50" s="154">
        <v>25571</v>
      </c>
      <c r="CJ50" s="155">
        <v>27464</v>
      </c>
      <c r="CK50" s="155"/>
      <c r="CL50" s="155">
        <v>25755</v>
      </c>
      <c r="CM50" s="155"/>
      <c r="CN50" s="155">
        <v>21648</v>
      </c>
      <c r="CO50" s="156"/>
      <c r="CP50" s="115"/>
      <c r="CQ50" s="154">
        <v>26855</v>
      </c>
      <c r="CR50" s="190">
        <v>26647</v>
      </c>
      <c r="CS50" s="155"/>
      <c r="CT50" s="190">
        <v>27556</v>
      </c>
      <c r="CU50" s="155"/>
      <c r="CV50" s="190">
        <v>25553</v>
      </c>
      <c r="CW50" s="156"/>
      <c r="CX50" s="115"/>
      <c r="CY50" s="154">
        <v>30222</v>
      </c>
      <c r="CZ50" s="190">
        <v>29451</v>
      </c>
      <c r="DA50" s="155"/>
      <c r="DB50" s="190">
        <v>30954</v>
      </c>
      <c r="DC50" s="155"/>
      <c r="DD50" s="190">
        <v>27546</v>
      </c>
      <c r="DE50" s="156"/>
      <c r="DF50" s="115"/>
      <c r="DG50" s="154">
        <v>38100</v>
      </c>
      <c r="DH50" s="190">
        <v>37424</v>
      </c>
      <c r="DI50" s="155"/>
      <c r="DJ50" s="190">
        <v>31937</v>
      </c>
      <c r="DK50" s="155"/>
      <c r="DL50" s="190">
        <v>30825</v>
      </c>
      <c r="DM50" s="156"/>
    </row>
    <row r="51" spans="1:117" s="100" customFormat="1" x14ac:dyDescent="0.25">
      <c r="A51" s="95" t="s">
        <v>223</v>
      </c>
      <c r="B51" s="88" t="s">
        <v>29</v>
      </c>
      <c r="C51" s="9"/>
      <c r="D51" s="9"/>
      <c r="E51" s="730">
        <v>129539.56916999999</v>
      </c>
      <c r="F51" s="9"/>
      <c r="G51" s="572">
        <v>125298.59816999998</v>
      </c>
      <c r="H51" s="445"/>
      <c r="I51" s="445">
        <v>137622.75616999998</v>
      </c>
      <c r="J51" s="445"/>
      <c r="K51" s="445">
        <v>126904.31916999999</v>
      </c>
      <c r="L51" s="406"/>
      <c r="M51" s="492">
        <v>128293.51816999998</v>
      </c>
      <c r="N51" s="9"/>
      <c r="O51" s="572">
        <v>105537</v>
      </c>
      <c r="P51" s="445"/>
      <c r="Q51" s="445">
        <f>SUM(Q49:Q50)</f>
        <v>114539</v>
      </c>
      <c r="R51" s="445"/>
      <c r="S51" s="445">
        <f>SUM(S49:S50)</f>
        <v>118555</v>
      </c>
      <c r="T51" s="406"/>
      <c r="U51" s="445">
        <f>SUM(U49:U50)</f>
        <v>124840</v>
      </c>
      <c r="V51" s="600"/>
      <c r="W51" s="572">
        <v>108658</v>
      </c>
      <c r="X51" s="445"/>
      <c r="Y51" s="445">
        <v>104187</v>
      </c>
      <c r="Z51" s="445"/>
      <c r="AA51" s="423">
        <v>107844.39503</v>
      </c>
      <c r="AB51" s="406"/>
      <c r="AC51" s="21">
        <v>104807.54403</v>
      </c>
      <c r="AD51" s="483"/>
      <c r="AE51" s="446">
        <v>105767</v>
      </c>
      <c r="AF51" s="445">
        <v>106502</v>
      </c>
      <c r="AG51" s="445"/>
      <c r="AH51" s="445"/>
      <c r="AI51" s="445">
        <v>104776</v>
      </c>
      <c r="AJ51" s="406"/>
      <c r="AK51" s="21">
        <v>107745</v>
      </c>
      <c r="AL51" s="9"/>
      <c r="AM51" s="446">
        <v>107246</v>
      </c>
      <c r="AN51" s="445">
        <v>104676</v>
      </c>
      <c r="AO51" s="445"/>
      <c r="AP51" s="445">
        <v>106591</v>
      </c>
      <c r="AQ51" s="445"/>
      <c r="AR51" s="445">
        <v>108096</v>
      </c>
      <c r="AS51" s="492"/>
      <c r="AT51" s="9"/>
      <c r="AU51" s="446">
        <v>105720</v>
      </c>
      <c r="AV51" s="442">
        <v>102876</v>
      </c>
      <c r="AW51" s="442"/>
      <c r="AX51" s="442">
        <v>102999</v>
      </c>
      <c r="AY51" s="442"/>
      <c r="AZ51" s="442">
        <v>104406</v>
      </c>
      <c r="BA51" s="104"/>
      <c r="BB51" s="9"/>
      <c r="BC51" s="108">
        <v>111105</v>
      </c>
      <c r="BD51" s="103">
        <v>106853</v>
      </c>
      <c r="BE51" s="103"/>
      <c r="BF51" s="103">
        <v>109969</v>
      </c>
      <c r="BG51" s="103"/>
      <c r="BH51" s="103">
        <v>106214</v>
      </c>
      <c r="BI51" s="104"/>
      <c r="BJ51" s="9"/>
      <c r="BK51" s="108">
        <v>97071</v>
      </c>
      <c r="BL51" s="103">
        <v>98294</v>
      </c>
      <c r="BM51" s="103"/>
      <c r="BN51" s="103">
        <v>99023</v>
      </c>
      <c r="BO51" s="103"/>
      <c r="BP51" s="103">
        <v>97863</v>
      </c>
      <c r="BQ51" s="104"/>
      <c r="BR51" s="9"/>
      <c r="BS51" s="108">
        <v>95996</v>
      </c>
      <c r="BT51" s="103">
        <v>97315</v>
      </c>
      <c r="BU51" s="103"/>
      <c r="BV51" s="103">
        <v>98023</v>
      </c>
      <c r="BW51" s="103"/>
      <c r="BX51" s="103">
        <v>95614</v>
      </c>
      <c r="BY51" s="104"/>
      <c r="BZ51" s="9"/>
      <c r="CA51" s="108">
        <v>94438</v>
      </c>
      <c r="CB51" s="103">
        <v>90854</v>
      </c>
      <c r="CC51" s="103"/>
      <c r="CD51" s="103">
        <v>92618</v>
      </c>
      <c r="CE51" s="103"/>
      <c r="CF51" s="103">
        <v>93433</v>
      </c>
      <c r="CG51" s="104"/>
      <c r="CH51" s="103"/>
      <c r="CI51" s="108">
        <v>100136</v>
      </c>
      <c r="CJ51" s="103">
        <v>100634</v>
      </c>
      <c r="CK51" s="103"/>
      <c r="CL51" s="103">
        <v>99547</v>
      </c>
      <c r="CM51" s="103"/>
      <c r="CN51" s="103">
        <v>92696</v>
      </c>
      <c r="CO51" s="104"/>
      <c r="CP51" s="89"/>
      <c r="CQ51" s="108">
        <v>104732</v>
      </c>
      <c r="CR51" s="118">
        <v>103932</v>
      </c>
      <c r="CS51" s="103"/>
      <c r="CT51" s="118">
        <v>103154</v>
      </c>
      <c r="CU51" s="103"/>
      <c r="CV51" s="118">
        <v>99057</v>
      </c>
      <c r="CW51" s="104"/>
      <c r="CX51" s="89"/>
      <c r="CY51" s="108">
        <v>111381</v>
      </c>
      <c r="CZ51" s="118">
        <v>110316</v>
      </c>
      <c r="DA51" s="103"/>
      <c r="DB51" s="118">
        <v>108731</v>
      </c>
      <c r="DC51" s="103"/>
      <c r="DD51" s="118">
        <v>105091</v>
      </c>
      <c r="DE51" s="104"/>
      <c r="DF51" s="89"/>
      <c r="DG51" s="108">
        <v>122442</v>
      </c>
      <c r="DH51" s="118">
        <v>120993</v>
      </c>
      <c r="DI51" s="103"/>
      <c r="DJ51" s="118">
        <v>113736</v>
      </c>
      <c r="DK51" s="103"/>
      <c r="DL51" s="118">
        <v>109833</v>
      </c>
      <c r="DM51" s="104"/>
    </row>
    <row r="52" spans="1:117" s="100" customFormat="1" ht="7.5" customHeight="1" x14ac:dyDescent="0.25">
      <c r="A52" s="95"/>
      <c r="B52" s="88"/>
      <c r="C52" s="9"/>
      <c r="D52" s="9"/>
      <c r="E52" s="730"/>
      <c r="F52" s="9"/>
      <c r="G52" s="572"/>
      <c r="H52" s="445"/>
      <c r="I52" s="445"/>
      <c r="J52" s="445"/>
      <c r="K52" s="445"/>
      <c r="L52" s="406"/>
      <c r="M52" s="492"/>
      <c r="N52" s="9"/>
      <c r="O52" s="572"/>
      <c r="P52" s="445"/>
      <c r="Q52" s="445"/>
      <c r="R52" s="445"/>
      <c r="S52" s="445"/>
      <c r="T52" s="406"/>
      <c r="U52" s="445"/>
      <c r="V52" s="600"/>
      <c r="W52" s="572"/>
      <c r="X52" s="445"/>
      <c r="Y52" s="445"/>
      <c r="Z52" s="445"/>
      <c r="AA52" s="423"/>
      <c r="AB52" s="406"/>
      <c r="AC52" s="21"/>
      <c r="AD52" s="483"/>
      <c r="AE52" s="446"/>
      <c r="AF52" s="445"/>
      <c r="AG52" s="445"/>
      <c r="AH52" s="445"/>
      <c r="AI52" s="445"/>
      <c r="AJ52" s="406"/>
      <c r="AK52" s="21">
        <v>0</v>
      </c>
      <c r="AL52" s="9"/>
      <c r="AM52" s="446"/>
      <c r="AN52" s="445"/>
      <c r="AO52" s="445"/>
      <c r="AP52" s="445"/>
      <c r="AQ52" s="445"/>
      <c r="AR52" s="445"/>
      <c r="AS52" s="492"/>
      <c r="AT52" s="9"/>
      <c r="AU52" s="446"/>
      <c r="AV52" s="442"/>
      <c r="AW52" s="442"/>
      <c r="AX52" s="442"/>
      <c r="AY52" s="442"/>
      <c r="AZ52" s="442"/>
      <c r="BA52" s="104"/>
      <c r="BB52" s="9"/>
      <c r="BC52" s="108"/>
      <c r="BD52" s="103"/>
      <c r="BE52" s="103"/>
      <c r="BF52" s="103"/>
      <c r="BG52" s="103"/>
      <c r="BH52" s="103"/>
      <c r="BI52" s="104"/>
      <c r="BJ52" s="9"/>
      <c r="BK52" s="108"/>
      <c r="BL52" s="103"/>
      <c r="BM52" s="103"/>
      <c r="BN52" s="103"/>
      <c r="BO52" s="103"/>
      <c r="BP52" s="103"/>
      <c r="BQ52" s="104"/>
      <c r="BR52" s="9"/>
      <c r="BS52" s="108"/>
      <c r="BT52" s="103"/>
      <c r="BU52" s="103"/>
      <c r="BV52" s="103"/>
      <c r="BW52" s="103"/>
      <c r="BX52" s="103"/>
      <c r="BY52" s="104"/>
      <c r="BZ52" s="9"/>
      <c r="CA52" s="108"/>
      <c r="CB52" s="103"/>
      <c r="CC52" s="103"/>
      <c r="CD52" s="103"/>
      <c r="CE52" s="103"/>
      <c r="CF52" s="103"/>
      <c r="CG52" s="104"/>
      <c r="CH52" s="103"/>
      <c r="CI52" s="108"/>
      <c r="CJ52" s="103"/>
      <c r="CK52" s="103"/>
      <c r="CL52" s="103"/>
      <c r="CM52" s="103"/>
      <c r="CN52" s="103"/>
      <c r="CO52" s="104"/>
      <c r="CP52" s="89"/>
      <c r="CQ52" s="108"/>
      <c r="CR52" s="118"/>
      <c r="CS52" s="103"/>
      <c r="CT52" s="118"/>
      <c r="CU52" s="103"/>
      <c r="CV52" s="118"/>
      <c r="CW52" s="104"/>
      <c r="CX52" s="89"/>
      <c r="CY52" s="108"/>
      <c r="CZ52" s="118"/>
      <c r="DA52" s="103"/>
      <c r="DB52" s="118"/>
      <c r="DC52" s="103"/>
      <c r="DD52" s="118"/>
      <c r="DE52" s="104"/>
      <c r="DF52" s="89"/>
      <c r="DG52" s="108"/>
      <c r="DH52" s="118"/>
      <c r="DI52" s="103"/>
      <c r="DJ52" s="118"/>
      <c r="DK52" s="103"/>
      <c r="DL52" s="118"/>
      <c r="DM52" s="104"/>
    </row>
    <row r="53" spans="1:117" s="100" customFormat="1" x14ac:dyDescent="0.25">
      <c r="A53" s="95" t="s">
        <v>224</v>
      </c>
      <c r="B53" s="88" t="s">
        <v>36</v>
      </c>
      <c r="C53" s="9"/>
      <c r="D53" s="9"/>
      <c r="E53" s="730">
        <v>61584.53</v>
      </c>
      <c r="F53" s="9"/>
      <c r="G53" s="572">
        <v>65416.33</v>
      </c>
      <c r="H53" s="445"/>
      <c r="I53" s="445">
        <v>53844.277000000002</v>
      </c>
      <c r="J53" s="445"/>
      <c r="K53" s="445">
        <v>61606.936999999998</v>
      </c>
      <c r="L53" s="406"/>
      <c r="M53" s="492">
        <v>62256.972999999998</v>
      </c>
      <c r="N53" s="9"/>
      <c r="O53" s="572">
        <v>70402</v>
      </c>
      <c r="P53" s="445"/>
      <c r="Q53" s="445">
        <v>71440</v>
      </c>
      <c r="R53" s="445"/>
      <c r="S53" s="445">
        <v>76197</v>
      </c>
      <c r="T53" s="406"/>
      <c r="U53" s="445">
        <v>64842</v>
      </c>
      <c r="V53" s="600"/>
      <c r="W53" s="572">
        <v>62043</v>
      </c>
      <c r="X53" s="445"/>
      <c r="Y53" s="445">
        <v>64552</v>
      </c>
      <c r="Z53" s="445"/>
      <c r="AA53" s="423">
        <v>65652.998999999996</v>
      </c>
      <c r="AB53" s="406"/>
      <c r="AC53" s="21">
        <v>70766.574999999997</v>
      </c>
      <c r="AD53" s="483"/>
      <c r="AE53" s="446">
        <v>54079</v>
      </c>
      <c r="AF53" s="445">
        <v>56541</v>
      </c>
      <c r="AG53" s="445"/>
      <c r="AH53" s="445"/>
      <c r="AI53" s="445">
        <v>58465</v>
      </c>
      <c r="AJ53" s="406"/>
      <c r="AK53" s="21">
        <v>59797</v>
      </c>
      <c r="AL53" s="9"/>
      <c r="AM53" s="446">
        <v>48105</v>
      </c>
      <c r="AN53" s="445">
        <v>49250</v>
      </c>
      <c r="AO53" s="445"/>
      <c r="AP53" s="445">
        <v>51149</v>
      </c>
      <c r="AQ53" s="445"/>
      <c r="AR53" s="445">
        <v>52606</v>
      </c>
      <c r="AS53" s="492"/>
      <c r="AT53" s="9"/>
      <c r="AU53" s="446">
        <v>12456</v>
      </c>
      <c r="AV53" s="442">
        <v>13086</v>
      </c>
      <c r="AW53" s="442"/>
      <c r="AX53" s="442">
        <v>10778</v>
      </c>
      <c r="AY53" s="442"/>
      <c r="AZ53" s="442">
        <v>11112</v>
      </c>
      <c r="BA53" s="104"/>
      <c r="BB53" s="9"/>
      <c r="BC53" s="108">
        <v>12004</v>
      </c>
      <c r="BD53" s="103">
        <v>10708</v>
      </c>
      <c r="BE53" s="103"/>
      <c r="BF53" s="103">
        <v>9275</v>
      </c>
      <c r="BG53" s="103"/>
      <c r="BH53" s="103">
        <v>11938</v>
      </c>
      <c r="BI53" s="104"/>
      <c r="BJ53" s="9"/>
      <c r="BK53" s="108">
        <v>14220</v>
      </c>
      <c r="BL53" s="103">
        <v>12239</v>
      </c>
      <c r="BM53" s="103"/>
      <c r="BN53" s="103">
        <v>12739</v>
      </c>
      <c r="BO53" s="103"/>
      <c r="BP53" s="103">
        <v>11482</v>
      </c>
      <c r="BQ53" s="104"/>
      <c r="BR53" s="9"/>
      <c r="BS53" s="108">
        <v>11286</v>
      </c>
      <c r="BT53" s="103">
        <v>12063</v>
      </c>
      <c r="BU53" s="103"/>
      <c r="BV53" s="103">
        <v>13160</v>
      </c>
      <c r="BW53" s="103"/>
      <c r="BX53" s="103">
        <v>12807</v>
      </c>
      <c r="BY53" s="104"/>
      <c r="BZ53" s="9"/>
      <c r="CA53" s="108">
        <v>44172</v>
      </c>
      <c r="CB53" s="103">
        <v>44066</v>
      </c>
      <c r="CC53" s="103"/>
      <c r="CD53" s="103">
        <v>40200</v>
      </c>
      <c r="CE53" s="103"/>
      <c r="CF53" s="103">
        <v>21481</v>
      </c>
      <c r="CG53" s="104"/>
      <c r="CH53" s="103"/>
      <c r="CI53" s="108">
        <v>45574</v>
      </c>
      <c r="CJ53" s="103">
        <v>46460</v>
      </c>
      <c r="CK53" s="103"/>
      <c r="CL53" s="103">
        <v>47239</v>
      </c>
      <c r="CM53" s="103"/>
      <c r="CN53" s="103">
        <v>46289</v>
      </c>
      <c r="CO53" s="104"/>
      <c r="CP53" s="89"/>
      <c r="CQ53" s="108">
        <v>48009</v>
      </c>
      <c r="CR53" s="118">
        <v>49225</v>
      </c>
      <c r="CS53" s="103"/>
      <c r="CT53" s="118">
        <v>47215</v>
      </c>
      <c r="CU53" s="103"/>
      <c r="CV53" s="118">
        <v>45755</v>
      </c>
      <c r="CW53" s="104"/>
      <c r="CX53" s="89"/>
      <c r="CY53" s="108">
        <v>44938</v>
      </c>
      <c r="CZ53" s="118">
        <v>46703</v>
      </c>
      <c r="DA53" s="103"/>
      <c r="DB53" s="118">
        <v>48125</v>
      </c>
      <c r="DC53" s="103"/>
      <c r="DD53" s="118">
        <v>48636</v>
      </c>
      <c r="DE53" s="104"/>
      <c r="DF53" s="89"/>
      <c r="DG53" s="108">
        <v>46672</v>
      </c>
      <c r="DH53" s="118">
        <v>45158</v>
      </c>
      <c r="DI53" s="103"/>
      <c r="DJ53" s="118">
        <v>46343</v>
      </c>
      <c r="DK53" s="103"/>
      <c r="DL53" s="118">
        <v>46069</v>
      </c>
      <c r="DM53" s="104"/>
    </row>
    <row r="54" spans="1:117" ht="7.5" customHeight="1" x14ac:dyDescent="0.25">
      <c r="B54" s="42"/>
      <c r="C54" s="9"/>
      <c r="D54" s="9"/>
      <c r="E54" s="747"/>
      <c r="F54" s="9"/>
      <c r="G54" s="575"/>
      <c r="H54" s="445"/>
      <c r="I54" s="445"/>
      <c r="J54" s="445"/>
      <c r="K54" s="445"/>
      <c r="L54" s="406"/>
      <c r="M54" s="492"/>
      <c r="N54" s="9"/>
      <c r="O54" s="575"/>
      <c r="P54" s="445"/>
      <c r="Q54" s="445"/>
      <c r="R54" s="445"/>
      <c r="S54" s="445"/>
      <c r="T54" s="406"/>
      <c r="U54" s="445"/>
      <c r="V54" s="600"/>
      <c r="W54" s="575"/>
      <c r="X54" s="445"/>
      <c r="Y54" s="445"/>
      <c r="Z54" s="445"/>
      <c r="AA54" s="445"/>
      <c r="AB54" s="406"/>
      <c r="AC54" s="21"/>
      <c r="AD54" s="483"/>
      <c r="AE54" s="527"/>
      <c r="AF54" s="445"/>
      <c r="AG54" s="445"/>
      <c r="AH54" s="445"/>
      <c r="AI54" s="445"/>
      <c r="AJ54" s="406"/>
      <c r="AK54" s="21">
        <v>0</v>
      </c>
      <c r="AL54" s="9"/>
      <c r="AM54" s="446"/>
      <c r="AN54" s="445"/>
      <c r="AO54" s="445"/>
      <c r="AP54" s="445"/>
      <c r="AQ54" s="445"/>
      <c r="AR54" s="445"/>
      <c r="AS54" s="492"/>
      <c r="AT54" s="9"/>
      <c r="AU54" s="446"/>
      <c r="AV54" s="442"/>
      <c r="AW54" s="442"/>
      <c r="AX54" s="442"/>
      <c r="AY54" s="442"/>
      <c r="AZ54" s="442"/>
      <c r="BA54" s="104"/>
      <c r="BB54" s="9"/>
      <c r="BC54" s="108"/>
      <c r="BD54" s="103"/>
      <c r="BE54" s="103"/>
      <c r="BF54" s="103"/>
      <c r="BG54" s="103"/>
      <c r="BH54" s="103"/>
      <c r="BI54" s="104"/>
      <c r="BJ54" s="9"/>
      <c r="BK54" s="108"/>
      <c r="BL54" s="103"/>
      <c r="BM54" s="103"/>
      <c r="BN54" s="103"/>
      <c r="BO54" s="103"/>
      <c r="BP54" s="103"/>
      <c r="BQ54" s="104"/>
      <c r="BR54" s="9"/>
      <c r="BS54" s="108"/>
      <c r="BT54" s="103"/>
      <c r="BU54" s="103"/>
      <c r="BV54" s="103"/>
      <c r="BW54" s="103"/>
      <c r="BX54" s="103"/>
      <c r="BY54" s="104"/>
      <c r="BZ54" s="9"/>
      <c r="CA54" s="108"/>
      <c r="CB54" s="103"/>
      <c r="CC54" s="103"/>
      <c r="CD54" s="103"/>
      <c r="CE54" s="103"/>
      <c r="CF54" s="103"/>
      <c r="CG54" s="104"/>
      <c r="CH54" s="103"/>
      <c r="CI54" s="108"/>
      <c r="CJ54" s="103"/>
      <c r="CK54" s="103"/>
      <c r="CL54" s="103"/>
      <c r="CM54" s="103"/>
      <c r="CN54" s="103"/>
      <c r="CO54" s="104"/>
      <c r="CP54" s="77"/>
      <c r="CQ54" s="108"/>
      <c r="CR54" s="118"/>
      <c r="CS54" s="116"/>
      <c r="CT54" s="116"/>
      <c r="CU54" s="116"/>
      <c r="CV54" s="116"/>
      <c r="CW54" s="117"/>
      <c r="CX54" s="77"/>
      <c r="CY54" s="108"/>
      <c r="CZ54" s="116"/>
      <c r="DA54" s="116"/>
      <c r="DB54" s="116"/>
      <c r="DC54" s="116"/>
      <c r="DD54" s="116"/>
      <c r="DE54" s="117"/>
      <c r="DF54" s="77"/>
      <c r="DG54" s="108"/>
      <c r="DH54" s="116"/>
      <c r="DI54" s="116"/>
      <c r="DJ54" s="116"/>
      <c r="DK54" s="116"/>
      <c r="DL54" s="116"/>
      <c r="DM54" s="117"/>
    </row>
    <row r="55" spans="1:117" s="100" customFormat="1" x14ac:dyDescent="0.25">
      <c r="A55" s="95" t="s">
        <v>231</v>
      </c>
      <c r="B55" s="88" t="s">
        <v>66</v>
      </c>
      <c r="C55" s="9"/>
      <c r="D55" s="9"/>
      <c r="E55" s="732">
        <v>1153</v>
      </c>
      <c r="F55" s="9"/>
      <c r="G55" s="639">
        <v>4343</v>
      </c>
      <c r="H55" s="653">
        <f>I55-G55</f>
        <v>1938</v>
      </c>
      <c r="I55" s="656">
        <v>6281</v>
      </c>
      <c r="J55" s="653">
        <f>K55-I55</f>
        <v>1178</v>
      </c>
      <c r="K55" s="656">
        <v>7459</v>
      </c>
      <c r="L55" s="653">
        <f>M55-K55</f>
        <v>992</v>
      </c>
      <c r="M55" s="660">
        <v>8451</v>
      </c>
      <c r="N55" s="9"/>
      <c r="O55" s="575">
        <v>1874</v>
      </c>
      <c r="P55" s="445">
        <v>3798</v>
      </c>
      <c r="Q55" s="445">
        <v>5672</v>
      </c>
      <c r="R55" s="445">
        <v>7644</v>
      </c>
      <c r="S55" s="445">
        <v>13316</v>
      </c>
      <c r="T55" s="445">
        <f>U55-S55</f>
        <v>9784</v>
      </c>
      <c r="U55" s="445">
        <v>23100</v>
      </c>
      <c r="V55" s="600"/>
      <c r="W55" s="575">
        <v>1053</v>
      </c>
      <c r="X55" s="445">
        <f>Y55-W55</f>
        <v>1155</v>
      </c>
      <c r="Y55" s="445">
        <v>2208</v>
      </c>
      <c r="Z55" s="445">
        <f>AA55-Y55</f>
        <v>2328</v>
      </c>
      <c r="AA55" s="445">
        <v>4536</v>
      </c>
      <c r="AB55" s="445">
        <f>AC55-AA55</f>
        <v>4348</v>
      </c>
      <c r="AC55" s="372">
        <v>8884</v>
      </c>
      <c r="AD55" s="483"/>
      <c r="AE55" s="527">
        <v>965</v>
      </c>
      <c r="AF55" s="445">
        <f t="shared" ref="AF55" si="45">AG55-AE55</f>
        <v>1052</v>
      </c>
      <c r="AG55" s="445">
        <v>2017</v>
      </c>
      <c r="AH55" s="445"/>
      <c r="AI55" s="445">
        <v>3163</v>
      </c>
      <c r="AJ55" s="454"/>
      <c r="AK55" s="372">
        <v>7172</v>
      </c>
      <c r="AL55" s="9"/>
      <c r="AM55" s="446">
        <v>1001</v>
      </c>
      <c r="AN55" s="445">
        <v>1220</v>
      </c>
      <c r="AO55" s="445">
        <v>2221</v>
      </c>
      <c r="AP55" s="445">
        <v>1996</v>
      </c>
      <c r="AQ55" s="445">
        <v>4217</v>
      </c>
      <c r="AR55" s="445">
        <f>AS55-AQ55</f>
        <v>3007</v>
      </c>
      <c r="AS55" s="492">
        <v>7224</v>
      </c>
      <c r="AT55" s="9"/>
      <c r="AU55" s="446">
        <v>1060</v>
      </c>
      <c r="AV55" s="442">
        <v>570</v>
      </c>
      <c r="AW55" s="442">
        <v>1630</v>
      </c>
      <c r="AX55" s="442">
        <v>1131</v>
      </c>
      <c r="AY55" s="442">
        <v>2761</v>
      </c>
      <c r="AZ55" s="442">
        <v>2123</v>
      </c>
      <c r="BA55" s="104">
        <v>4884</v>
      </c>
      <c r="BB55" s="9"/>
      <c r="BC55" s="108">
        <v>1112</v>
      </c>
      <c r="BD55" s="103">
        <v>694</v>
      </c>
      <c r="BE55" s="103">
        <v>1806</v>
      </c>
      <c r="BF55" s="103">
        <v>1068</v>
      </c>
      <c r="BG55" s="103">
        <v>2874</v>
      </c>
      <c r="BH55" s="103">
        <v>988</v>
      </c>
      <c r="BI55" s="104">
        <v>3862</v>
      </c>
      <c r="BJ55" s="9"/>
      <c r="BK55" s="108">
        <v>1252</v>
      </c>
      <c r="BL55" s="103">
        <v>871</v>
      </c>
      <c r="BM55" s="103">
        <v>2123</v>
      </c>
      <c r="BN55" s="103">
        <v>1037</v>
      </c>
      <c r="BO55" s="103">
        <v>3160</v>
      </c>
      <c r="BP55" s="103">
        <v>1548</v>
      </c>
      <c r="BQ55" s="104">
        <v>4708</v>
      </c>
      <c r="BR55" s="9"/>
      <c r="BS55" s="108">
        <v>668</v>
      </c>
      <c r="BT55" s="103">
        <v>992</v>
      </c>
      <c r="BU55" s="103">
        <v>1660</v>
      </c>
      <c r="BV55" s="103">
        <v>888</v>
      </c>
      <c r="BW55" s="103">
        <v>2548</v>
      </c>
      <c r="BX55" s="103">
        <v>2303</v>
      </c>
      <c r="BY55" s="104">
        <v>4851</v>
      </c>
      <c r="BZ55" s="9"/>
      <c r="CA55" s="108">
        <v>670</v>
      </c>
      <c r="CB55" s="103">
        <v>384</v>
      </c>
      <c r="CC55" s="103">
        <v>1054</v>
      </c>
      <c r="CD55" s="103">
        <v>571</v>
      </c>
      <c r="CE55" s="103">
        <v>1625</v>
      </c>
      <c r="CF55" s="103">
        <v>2176</v>
      </c>
      <c r="CG55" s="104">
        <v>3801</v>
      </c>
      <c r="CH55" s="103"/>
      <c r="CI55" s="108">
        <v>260</v>
      </c>
      <c r="CJ55" s="103">
        <v>715</v>
      </c>
      <c r="CK55" s="103">
        <v>975</v>
      </c>
      <c r="CL55" s="103">
        <v>1063</v>
      </c>
      <c r="CM55" s="103">
        <v>2038</v>
      </c>
      <c r="CN55" s="103">
        <v>580</v>
      </c>
      <c r="CO55" s="104">
        <v>2618</v>
      </c>
      <c r="CP55" s="89"/>
      <c r="CQ55" s="108">
        <v>891</v>
      </c>
      <c r="CR55" s="118">
        <v>573</v>
      </c>
      <c r="CS55" s="118">
        <v>1464</v>
      </c>
      <c r="CT55" s="118">
        <v>794</v>
      </c>
      <c r="CU55" s="118">
        <v>2258</v>
      </c>
      <c r="CV55" s="118">
        <v>820</v>
      </c>
      <c r="CW55" s="119">
        <v>3078</v>
      </c>
      <c r="CX55" s="89"/>
      <c r="CY55" s="108">
        <v>488</v>
      </c>
      <c r="CZ55" s="118">
        <v>602</v>
      </c>
      <c r="DA55" s="118">
        <v>1090</v>
      </c>
      <c r="DB55" s="118">
        <v>812</v>
      </c>
      <c r="DC55" s="118">
        <v>1902</v>
      </c>
      <c r="DD55" s="118">
        <v>937</v>
      </c>
      <c r="DE55" s="119">
        <v>2839</v>
      </c>
      <c r="DF55" s="89"/>
      <c r="DG55" s="108">
        <v>111</v>
      </c>
      <c r="DH55" s="118">
        <v>612</v>
      </c>
      <c r="DI55" s="118">
        <v>723</v>
      </c>
      <c r="DJ55" s="118">
        <v>645</v>
      </c>
      <c r="DK55" s="118">
        <v>1368</v>
      </c>
      <c r="DL55" s="118">
        <v>1014</v>
      </c>
      <c r="DM55" s="119">
        <v>2382</v>
      </c>
    </row>
    <row r="56" spans="1:117" s="100" customFormat="1" ht="10.5" customHeight="1" x14ac:dyDescent="0.25">
      <c r="A56" s="95"/>
      <c r="B56" s="88"/>
      <c r="C56" s="9"/>
      <c r="D56" s="9"/>
      <c r="E56" s="732"/>
      <c r="F56" s="9"/>
      <c r="G56" s="639"/>
      <c r="H56" s="656"/>
      <c r="I56" s="656"/>
      <c r="J56" s="656"/>
      <c r="K56" s="656"/>
      <c r="L56" s="532"/>
      <c r="M56" s="660"/>
      <c r="N56" s="9"/>
      <c r="O56" s="575"/>
      <c r="P56" s="501"/>
      <c r="Q56" s="445"/>
      <c r="R56" s="501"/>
      <c r="S56" s="445"/>
      <c r="T56" s="454"/>
      <c r="U56" s="445"/>
      <c r="V56" s="600"/>
      <c r="W56" s="575"/>
      <c r="X56" s="501"/>
      <c r="Y56" s="445"/>
      <c r="Z56" s="501"/>
      <c r="AA56" s="445"/>
      <c r="AB56" s="454"/>
      <c r="AC56" s="372"/>
      <c r="AD56" s="483"/>
      <c r="AE56" s="527"/>
      <c r="AF56" s="501"/>
      <c r="AG56" s="445"/>
      <c r="AH56" s="445"/>
      <c r="AI56" s="445"/>
      <c r="AJ56" s="454"/>
      <c r="AK56" s="372">
        <v>0</v>
      </c>
      <c r="AL56" s="9"/>
      <c r="AM56" s="446"/>
      <c r="AN56" s="445"/>
      <c r="AO56" s="445"/>
      <c r="AP56" s="445"/>
      <c r="AQ56" s="445"/>
      <c r="AR56" s="445"/>
      <c r="AS56" s="492"/>
      <c r="AT56" s="9"/>
      <c r="AU56" s="446"/>
      <c r="AV56" s="442"/>
      <c r="AW56" s="442"/>
      <c r="AX56" s="442"/>
      <c r="AY56" s="442"/>
      <c r="AZ56" s="442"/>
      <c r="BA56" s="104"/>
      <c r="BB56" s="9"/>
      <c r="BC56" s="108"/>
      <c r="BD56" s="103"/>
      <c r="BE56" s="103"/>
      <c r="BF56" s="103"/>
      <c r="BG56" s="103"/>
      <c r="BH56" s="103"/>
      <c r="BI56" s="104"/>
      <c r="BJ56" s="9"/>
      <c r="BK56" s="108"/>
      <c r="BL56" s="103"/>
      <c r="BM56" s="103"/>
      <c r="BN56" s="103"/>
      <c r="BO56" s="103"/>
      <c r="BP56" s="103"/>
      <c r="BQ56" s="104"/>
      <c r="BR56" s="9"/>
      <c r="BS56" s="108"/>
      <c r="BT56" s="103"/>
      <c r="BU56" s="103"/>
      <c r="BV56" s="103"/>
      <c r="BW56" s="103"/>
      <c r="BX56" s="103"/>
      <c r="BY56" s="104"/>
      <c r="BZ56" s="9"/>
      <c r="CA56" s="108"/>
      <c r="CB56" s="103"/>
      <c r="CC56" s="103"/>
      <c r="CD56" s="103"/>
      <c r="CE56" s="103"/>
      <c r="CF56" s="103"/>
      <c r="CG56" s="104"/>
      <c r="CH56" s="103"/>
      <c r="CI56" s="108"/>
      <c r="CJ56" s="103"/>
      <c r="CK56" s="103"/>
      <c r="CL56" s="103"/>
      <c r="CM56" s="103"/>
      <c r="CN56" s="103"/>
      <c r="CO56" s="104"/>
      <c r="CP56" s="89"/>
      <c r="CQ56" s="108"/>
      <c r="CR56" s="118"/>
      <c r="CS56" s="118"/>
      <c r="CT56" s="118"/>
      <c r="CU56" s="118"/>
      <c r="CV56" s="118"/>
      <c r="CW56" s="119"/>
      <c r="CX56" s="89"/>
      <c r="CY56" s="108"/>
      <c r="CZ56" s="118"/>
      <c r="DA56" s="118"/>
      <c r="DB56" s="118"/>
      <c r="DC56" s="118"/>
      <c r="DD56" s="118"/>
      <c r="DE56" s="119"/>
      <c r="DF56" s="89"/>
      <c r="DG56" s="108"/>
      <c r="DH56" s="118"/>
      <c r="DI56" s="118"/>
      <c r="DJ56" s="118"/>
      <c r="DK56" s="118"/>
      <c r="DL56" s="118"/>
      <c r="DM56" s="119"/>
    </row>
    <row r="57" spans="1:117" s="100" customFormat="1" x14ac:dyDescent="0.25">
      <c r="A57" s="95" t="s">
        <v>232</v>
      </c>
      <c r="B57" s="419" t="s">
        <v>170</v>
      </c>
      <c r="C57" s="9"/>
      <c r="D57" s="9"/>
      <c r="E57" s="732">
        <v>0</v>
      </c>
      <c r="F57" s="9"/>
      <c r="G57" s="639">
        <v>0</v>
      </c>
      <c r="H57" s="656">
        <v>0</v>
      </c>
      <c r="I57" s="656">
        <v>0</v>
      </c>
      <c r="J57" s="656">
        <v>0</v>
      </c>
      <c r="K57" s="656">
        <v>0</v>
      </c>
      <c r="L57" s="656">
        <v>0</v>
      </c>
      <c r="M57" s="660">
        <v>0</v>
      </c>
      <c r="N57" s="9"/>
      <c r="O57" s="575">
        <v>0</v>
      </c>
      <c r="P57" s="501">
        <v>0</v>
      </c>
      <c r="Q57" s="501">
        <v>0</v>
      </c>
      <c r="R57" s="501">
        <v>0</v>
      </c>
      <c r="S57" s="501">
        <v>0</v>
      </c>
      <c r="T57" s="501">
        <v>0</v>
      </c>
      <c r="U57" s="501">
        <v>0</v>
      </c>
      <c r="V57" s="600"/>
      <c r="W57" s="575">
        <v>0</v>
      </c>
      <c r="X57" s="501">
        <f>Y57-W57</f>
        <v>0</v>
      </c>
      <c r="Y57" s="501">
        <v>0</v>
      </c>
      <c r="Z57" s="501">
        <f>AA57-Y57</f>
        <v>0</v>
      </c>
      <c r="AA57" s="445">
        <v>0</v>
      </c>
      <c r="AB57" s="501">
        <f>AC57-AA57</f>
        <v>0</v>
      </c>
      <c r="AC57" s="372">
        <v>0</v>
      </c>
      <c r="AD57" s="483"/>
      <c r="AE57" s="527">
        <v>0</v>
      </c>
      <c r="AF57" s="501"/>
      <c r="AG57" s="501"/>
      <c r="AH57" s="501"/>
      <c r="AI57" s="501"/>
      <c r="AJ57" s="454"/>
      <c r="AK57" s="372">
        <v>0</v>
      </c>
      <c r="AL57" s="9"/>
      <c r="AM57" s="446">
        <v>0</v>
      </c>
      <c r="AN57" s="445">
        <v>0</v>
      </c>
      <c r="AO57" s="445">
        <v>0</v>
      </c>
      <c r="AP57" s="445">
        <v>0</v>
      </c>
      <c r="AQ57" s="445">
        <v>0</v>
      </c>
      <c r="AR57" s="501">
        <f>AS57-AQ57</f>
        <v>0</v>
      </c>
      <c r="AS57" s="502">
        <v>0</v>
      </c>
      <c r="AT57" s="9"/>
      <c r="AU57" s="446">
        <v>0</v>
      </c>
      <c r="AV57" s="442">
        <v>0</v>
      </c>
      <c r="AW57" s="442">
        <v>0</v>
      </c>
      <c r="AX57" s="442">
        <v>0</v>
      </c>
      <c r="AY57" s="442">
        <v>0</v>
      </c>
      <c r="AZ57" s="442">
        <v>0</v>
      </c>
      <c r="BA57" s="104">
        <v>0</v>
      </c>
      <c r="BB57" s="9"/>
      <c r="BC57" s="108">
        <v>0</v>
      </c>
      <c r="BD57" s="103">
        <v>0</v>
      </c>
      <c r="BE57" s="103">
        <v>0</v>
      </c>
      <c r="BF57" s="103">
        <v>0</v>
      </c>
      <c r="BG57" s="103">
        <v>0</v>
      </c>
      <c r="BH57" s="103">
        <v>0</v>
      </c>
      <c r="BI57" s="104">
        <v>0</v>
      </c>
      <c r="BJ57" s="9"/>
      <c r="BK57" s="108">
        <v>0</v>
      </c>
      <c r="BL57" s="103">
        <v>0</v>
      </c>
      <c r="BM57" s="103">
        <v>0</v>
      </c>
      <c r="BN57" s="103">
        <v>0</v>
      </c>
      <c r="BO57" s="103">
        <v>0</v>
      </c>
      <c r="BP57" s="103">
        <v>0</v>
      </c>
      <c r="BQ57" s="104">
        <v>0</v>
      </c>
      <c r="BR57" s="9"/>
      <c r="BS57" s="108">
        <v>0</v>
      </c>
      <c r="BT57" s="103">
        <v>0</v>
      </c>
      <c r="BU57" s="103">
        <v>0</v>
      </c>
      <c r="BV57" s="103">
        <v>0</v>
      </c>
      <c r="BW57" s="103">
        <v>0</v>
      </c>
      <c r="BX57" s="103">
        <v>0</v>
      </c>
      <c r="BY57" s="104">
        <v>0</v>
      </c>
      <c r="BZ57" s="9"/>
      <c r="CA57" s="108">
        <v>0</v>
      </c>
      <c r="CB57" s="103">
        <v>0</v>
      </c>
      <c r="CC57" s="103">
        <v>0</v>
      </c>
      <c r="CD57" s="103">
        <v>0</v>
      </c>
      <c r="CE57" s="103">
        <v>0</v>
      </c>
      <c r="CF57" s="103">
        <v>0</v>
      </c>
      <c r="CG57" s="104">
        <v>0</v>
      </c>
      <c r="CH57" s="103"/>
      <c r="CI57" s="108"/>
      <c r="CJ57" s="103"/>
      <c r="CK57" s="103"/>
      <c r="CL57" s="103"/>
      <c r="CM57" s="103"/>
      <c r="CN57" s="103"/>
      <c r="CO57" s="104"/>
      <c r="CP57" s="89"/>
      <c r="CQ57" s="108"/>
      <c r="CR57" s="118"/>
      <c r="CS57" s="118"/>
      <c r="CT57" s="118"/>
      <c r="CU57" s="118"/>
      <c r="CV57" s="118"/>
      <c r="CW57" s="119"/>
      <c r="CX57" s="89"/>
      <c r="CY57" s="108"/>
      <c r="CZ57" s="118"/>
      <c r="DA57" s="118"/>
      <c r="DB57" s="118"/>
      <c r="DC57" s="118"/>
      <c r="DD57" s="118"/>
      <c r="DE57" s="119"/>
      <c r="DF57" s="89"/>
      <c r="DG57" s="108"/>
      <c r="DH57" s="118"/>
      <c r="DI57" s="118"/>
      <c r="DJ57" s="118"/>
      <c r="DK57" s="118"/>
      <c r="DL57" s="118"/>
      <c r="DM57" s="119"/>
    </row>
    <row r="58" spans="1:117" s="100" customFormat="1" ht="7.5" customHeight="1" x14ac:dyDescent="0.25">
      <c r="A58" s="95"/>
      <c r="B58" s="88"/>
      <c r="C58" s="9"/>
      <c r="D58" s="9"/>
      <c r="E58" s="738"/>
      <c r="F58" s="9"/>
      <c r="G58" s="446"/>
      <c r="H58" s="445"/>
      <c r="I58" s="445"/>
      <c r="J58" s="445"/>
      <c r="K58" s="445"/>
      <c r="L58" s="445"/>
      <c r="M58" s="492"/>
      <c r="N58" s="9"/>
      <c r="O58" s="446"/>
      <c r="P58" s="445"/>
      <c r="Q58" s="445"/>
      <c r="R58" s="445"/>
      <c r="S58" s="445"/>
      <c r="T58" s="445"/>
      <c r="U58" s="492"/>
      <c r="V58" s="600"/>
      <c r="W58" s="446"/>
      <c r="X58" s="445"/>
      <c r="Y58" s="445"/>
      <c r="Z58" s="445"/>
      <c r="AA58" s="445"/>
      <c r="AB58" s="445"/>
      <c r="AC58" s="492"/>
      <c r="AD58" s="483"/>
      <c r="AE58" s="446"/>
      <c r="AF58" s="445"/>
      <c r="AG58" s="445"/>
      <c r="AH58" s="445"/>
      <c r="AI58" s="445"/>
      <c r="AJ58" s="445"/>
      <c r="AK58" s="492"/>
      <c r="AL58" s="9"/>
      <c r="AM58" s="446"/>
      <c r="AN58" s="445"/>
      <c r="AO58" s="445"/>
      <c r="AP58" s="445"/>
      <c r="AQ58" s="445"/>
      <c r="AR58" s="445"/>
      <c r="AS58" s="492"/>
      <c r="AT58" s="9"/>
      <c r="AU58" s="446"/>
      <c r="AV58" s="442"/>
      <c r="AW58" s="442"/>
      <c r="AX58" s="442"/>
      <c r="AY58" s="442"/>
      <c r="AZ58" s="442"/>
      <c r="BA58" s="104"/>
      <c r="BB58" s="9"/>
      <c r="BC58" s="108"/>
      <c r="BD58" s="103"/>
      <c r="BE58" s="103"/>
      <c r="BF58" s="103"/>
      <c r="BG58" s="103"/>
      <c r="BH58" s="103"/>
      <c r="BI58" s="104"/>
      <c r="BJ58" s="9"/>
      <c r="BK58" s="108"/>
      <c r="BL58" s="103"/>
      <c r="BM58" s="103"/>
      <c r="BN58" s="103"/>
      <c r="BO58" s="103"/>
      <c r="BP58" s="103"/>
      <c r="BQ58" s="104"/>
      <c r="BR58" s="9"/>
      <c r="BS58" s="108"/>
      <c r="BT58" s="103"/>
      <c r="BU58" s="103"/>
      <c r="BV58" s="103"/>
      <c r="BW58" s="103"/>
      <c r="BX58" s="103"/>
      <c r="BY58" s="104"/>
      <c r="BZ58" s="9"/>
      <c r="CA58" s="108"/>
      <c r="CB58" s="103"/>
      <c r="CC58" s="103"/>
      <c r="CD58" s="103"/>
      <c r="CE58" s="103"/>
      <c r="CF58" s="103"/>
      <c r="CG58" s="104"/>
      <c r="CH58" s="103"/>
      <c r="CI58" s="108"/>
      <c r="CJ58" s="103"/>
      <c r="CK58" s="103"/>
      <c r="CL58" s="103"/>
      <c r="CM58" s="103"/>
      <c r="CN58" s="103"/>
      <c r="CO58" s="104"/>
      <c r="CP58" s="89"/>
      <c r="CQ58" s="108"/>
      <c r="CR58" s="118"/>
      <c r="CS58" s="118"/>
      <c r="CT58" s="109"/>
      <c r="CU58" s="118"/>
      <c r="CV58" s="118"/>
      <c r="CW58" s="119"/>
      <c r="CX58" s="89"/>
      <c r="CY58" s="108"/>
      <c r="CZ58" s="118"/>
      <c r="DA58" s="118"/>
      <c r="DB58" s="109"/>
      <c r="DC58" s="118"/>
      <c r="DD58" s="118"/>
      <c r="DE58" s="119"/>
      <c r="DF58" s="89"/>
      <c r="DG58" s="108"/>
      <c r="DH58" s="118"/>
      <c r="DI58" s="118"/>
      <c r="DJ58" s="109"/>
      <c r="DK58" s="118"/>
      <c r="DL58" s="118"/>
      <c r="DM58" s="119"/>
    </row>
    <row r="59" spans="1:117" s="100" customFormat="1" x14ac:dyDescent="0.25">
      <c r="A59" s="95"/>
      <c r="B59" s="121" t="s">
        <v>67</v>
      </c>
      <c r="C59" s="9"/>
      <c r="D59" s="9"/>
      <c r="E59" s="738"/>
      <c r="F59" s="9"/>
      <c r="G59" s="446"/>
      <c r="H59" s="445"/>
      <c r="I59" s="445"/>
      <c r="J59" s="445"/>
      <c r="K59" s="445"/>
      <c r="L59" s="445"/>
      <c r="M59" s="492"/>
      <c r="N59" s="9"/>
      <c r="O59" s="446"/>
      <c r="P59" s="445"/>
      <c r="Q59" s="445"/>
      <c r="R59" s="445"/>
      <c r="S59" s="445"/>
      <c r="T59" s="445"/>
      <c r="U59" s="492"/>
      <c r="V59" s="600"/>
      <c r="W59" s="446"/>
      <c r="X59" s="445"/>
      <c r="Y59" s="445"/>
      <c r="Z59" s="445"/>
      <c r="AA59" s="445"/>
      <c r="AB59" s="445"/>
      <c r="AC59" s="492"/>
      <c r="AD59" s="483"/>
      <c r="AE59" s="446"/>
      <c r="AF59" s="445"/>
      <c r="AG59" s="445"/>
      <c r="AH59" s="445"/>
      <c r="AI59" s="445"/>
      <c r="AJ59" s="445"/>
      <c r="AK59" s="492"/>
      <c r="AL59" s="9"/>
      <c r="AM59" s="446"/>
      <c r="AN59" s="445"/>
      <c r="AO59" s="445"/>
      <c r="AP59" s="445"/>
      <c r="AQ59" s="445"/>
      <c r="AR59" s="445"/>
      <c r="AS59" s="492"/>
      <c r="AT59" s="9"/>
      <c r="AU59" s="446"/>
      <c r="AV59" s="442"/>
      <c r="AW59" s="442"/>
      <c r="AX59" s="442"/>
      <c r="AY59" s="442"/>
      <c r="AZ59" s="442"/>
      <c r="BA59" s="104"/>
      <c r="BB59" s="9"/>
      <c r="BC59" s="108"/>
      <c r="BD59" s="103"/>
      <c r="BE59" s="103"/>
      <c r="BF59" s="103"/>
      <c r="BG59" s="103"/>
      <c r="BH59" s="103"/>
      <c r="BI59" s="104"/>
      <c r="BJ59" s="9"/>
      <c r="BK59" s="108"/>
      <c r="BL59" s="103"/>
      <c r="BM59" s="103"/>
      <c r="BN59" s="103"/>
      <c r="BO59" s="103"/>
      <c r="BP59" s="103"/>
      <c r="BQ59" s="104"/>
      <c r="BR59" s="9"/>
      <c r="BS59" s="108"/>
      <c r="BT59" s="103"/>
      <c r="BU59" s="103"/>
      <c r="BV59" s="103"/>
      <c r="BW59" s="103"/>
      <c r="BX59" s="103"/>
      <c r="BY59" s="104"/>
      <c r="BZ59" s="9"/>
      <c r="CA59" s="108"/>
      <c r="CB59" s="103"/>
      <c r="CC59" s="103"/>
      <c r="CD59" s="103"/>
      <c r="CE59" s="103"/>
      <c r="CF59" s="103"/>
      <c r="CG59" s="104"/>
      <c r="CH59" s="103"/>
      <c r="CI59" s="108"/>
      <c r="CJ59" s="103"/>
      <c r="CK59" s="103"/>
      <c r="CL59" s="103"/>
      <c r="CM59" s="103"/>
      <c r="CN59" s="103"/>
      <c r="CO59" s="104"/>
      <c r="CP59" s="89"/>
      <c r="CQ59" s="108"/>
      <c r="CR59" s="109"/>
      <c r="CS59" s="118"/>
      <c r="CT59" s="109"/>
      <c r="CU59" s="118"/>
      <c r="CV59" s="109"/>
      <c r="CW59" s="119"/>
      <c r="CX59" s="89"/>
      <c r="CY59" s="108"/>
      <c r="CZ59" s="109"/>
      <c r="DA59" s="118"/>
      <c r="DB59" s="109"/>
      <c r="DC59" s="118"/>
      <c r="DD59" s="122"/>
      <c r="DE59" s="119"/>
      <c r="DF59" s="89"/>
      <c r="DG59" s="108"/>
      <c r="DH59" s="109"/>
      <c r="DI59" s="118"/>
      <c r="DJ59" s="109"/>
      <c r="DK59" s="118"/>
      <c r="DL59" s="109"/>
      <c r="DM59" s="119"/>
    </row>
    <row r="60" spans="1:117" s="100" customFormat="1" x14ac:dyDescent="0.25">
      <c r="A60" s="95"/>
      <c r="B60" s="88" t="s">
        <v>68</v>
      </c>
      <c r="C60" s="9"/>
      <c r="D60" s="9"/>
      <c r="E60" s="759"/>
      <c r="F60" s="9"/>
      <c r="G60" s="446"/>
      <c r="H60" s="445"/>
      <c r="I60" s="445"/>
      <c r="J60" s="445"/>
      <c r="K60" s="445"/>
      <c r="L60" s="445"/>
      <c r="M60" s="651">
        <v>0.98</v>
      </c>
      <c r="N60" s="9"/>
      <c r="O60" s="446"/>
      <c r="P60" s="445"/>
      <c r="Q60" s="445"/>
      <c r="R60" s="445"/>
      <c r="S60" s="445"/>
      <c r="T60" s="445"/>
      <c r="U60" s="559">
        <v>0.98</v>
      </c>
      <c r="V60" s="600"/>
      <c r="W60" s="446"/>
      <c r="X60" s="445"/>
      <c r="Y60" s="445"/>
      <c r="Z60" s="445"/>
      <c r="AA60" s="445"/>
      <c r="AB60" s="445"/>
      <c r="AC60" s="559">
        <v>0.98</v>
      </c>
      <c r="AD60" s="483"/>
      <c r="AE60" s="446"/>
      <c r="AF60" s="445"/>
      <c r="AG60" s="445"/>
      <c r="AH60" s="445"/>
      <c r="AI60" s="445"/>
      <c r="AJ60" s="445"/>
      <c r="AK60" s="559">
        <v>0.98</v>
      </c>
      <c r="AL60" s="9"/>
      <c r="AM60" s="446"/>
      <c r="AN60" s="445"/>
      <c r="AO60" s="445"/>
      <c r="AP60" s="445"/>
      <c r="AQ60" s="445"/>
      <c r="AR60" s="466">
        <v>0.98</v>
      </c>
      <c r="AS60" s="492"/>
      <c r="AT60" s="9"/>
      <c r="AU60" s="446"/>
      <c r="AV60" s="466"/>
      <c r="AW60" s="442"/>
      <c r="AX60" s="442"/>
      <c r="AY60" s="442"/>
      <c r="AZ60" s="125">
        <v>0.96699999999999997</v>
      </c>
      <c r="BA60" s="104"/>
      <c r="BB60" s="9"/>
      <c r="BC60" s="108"/>
      <c r="BD60" s="125"/>
      <c r="BE60" s="125"/>
      <c r="BF60" s="103"/>
      <c r="BG60" s="103"/>
      <c r="BH60" s="125">
        <v>0.96699999999999997</v>
      </c>
      <c r="BI60" s="104"/>
      <c r="BJ60" s="9"/>
      <c r="BK60" s="108"/>
      <c r="BL60" s="125"/>
      <c r="BM60" s="125"/>
      <c r="BN60" s="103"/>
      <c r="BO60" s="103"/>
      <c r="BP60" s="125">
        <v>0.96699999999999997</v>
      </c>
      <c r="BQ60" s="104"/>
      <c r="BR60" s="9"/>
      <c r="BS60" s="108"/>
      <c r="BT60" s="125"/>
      <c r="BU60" s="125"/>
      <c r="BV60" s="103"/>
      <c r="BW60" s="103"/>
      <c r="BX60" s="125">
        <v>0.96699999999999997</v>
      </c>
      <c r="BY60" s="104"/>
      <c r="BZ60" s="9"/>
      <c r="CA60" s="108"/>
      <c r="CB60" s="125"/>
      <c r="CC60" s="125"/>
      <c r="CD60" s="103"/>
      <c r="CE60" s="103"/>
      <c r="CF60" s="125">
        <v>0.96699999999999997</v>
      </c>
      <c r="CG60" s="104"/>
      <c r="CH60" s="103"/>
      <c r="CI60" s="108"/>
      <c r="CJ60" s="125"/>
      <c r="CK60" s="125"/>
      <c r="CL60" s="103"/>
      <c r="CM60" s="103"/>
      <c r="CN60" s="125">
        <v>0.96699999999999997</v>
      </c>
      <c r="CO60" s="104"/>
      <c r="CP60" s="89"/>
      <c r="CQ60" s="108"/>
      <c r="CR60" s="118"/>
      <c r="CS60" s="124"/>
      <c r="CT60" s="109"/>
      <c r="CU60" s="124"/>
      <c r="CV60" s="125">
        <v>0.96699999999999997</v>
      </c>
      <c r="CW60" s="126"/>
      <c r="CX60" s="89"/>
      <c r="CY60" s="108"/>
      <c r="CZ60" s="118"/>
      <c r="DA60" s="124"/>
      <c r="DB60" s="109"/>
      <c r="DC60" s="124"/>
      <c r="DD60" s="125">
        <v>0.96699999999999997</v>
      </c>
      <c r="DE60" s="126"/>
      <c r="DF60" s="89"/>
      <c r="DG60" s="108"/>
      <c r="DH60" s="118"/>
      <c r="DI60" s="124"/>
      <c r="DJ60" s="109"/>
      <c r="DK60" s="124"/>
      <c r="DL60" s="125">
        <v>0.96699999999999997</v>
      </c>
      <c r="DM60" s="126"/>
    </row>
    <row r="61" spans="1:117" s="100" customFormat="1" ht="15.75" thickBot="1" x14ac:dyDescent="0.3">
      <c r="A61" s="95"/>
      <c r="B61" s="88" t="s">
        <v>69</v>
      </c>
      <c r="C61" s="103"/>
      <c r="D61" s="103"/>
      <c r="E61" s="760"/>
      <c r="F61" s="103"/>
      <c r="G61" s="128"/>
      <c r="H61" s="129"/>
      <c r="I61" s="129"/>
      <c r="J61" s="129"/>
      <c r="K61" s="129"/>
      <c r="L61" s="129"/>
      <c r="M61" s="652">
        <v>0.82799999999999996</v>
      </c>
      <c r="N61" s="103"/>
      <c r="O61" s="128"/>
      <c r="P61" s="129"/>
      <c r="Q61" s="129"/>
      <c r="R61" s="129"/>
      <c r="S61" s="129"/>
      <c r="T61" s="129"/>
      <c r="U61" s="560">
        <v>0.85799999999999998</v>
      </c>
      <c r="V61" s="602"/>
      <c r="W61" s="128"/>
      <c r="X61" s="129"/>
      <c r="Y61" s="129"/>
      <c r="Z61" s="129"/>
      <c r="AA61" s="129"/>
      <c r="AB61" s="129"/>
      <c r="AC61" s="560">
        <v>0.85499999999999998</v>
      </c>
      <c r="AD61" s="483"/>
      <c r="AE61" s="128"/>
      <c r="AF61" s="129"/>
      <c r="AG61" s="129"/>
      <c r="AH61" s="129"/>
      <c r="AI61" s="129"/>
      <c r="AJ61" s="129"/>
      <c r="AK61" s="560">
        <v>0.85499999999999998</v>
      </c>
      <c r="AL61" s="103"/>
      <c r="AM61" s="128"/>
      <c r="AN61" s="129"/>
      <c r="AO61" s="129"/>
      <c r="AP61" s="129"/>
      <c r="AQ61" s="129"/>
      <c r="AR61" s="136">
        <v>0.85499999999999998</v>
      </c>
      <c r="AS61" s="131"/>
      <c r="AT61" s="103"/>
      <c r="AU61" s="128"/>
      <c r="AV61" s="136"/>
      <c r="AW61" s="129"/>
      <c r="AX61" s="129"/>
      <c r="AY61" s="129"/>
      <c r="AZ61" s="136">
        <v>0.81100000000000005</v>
      </c>
      <c r="BA61" s="131"/>
      <c r="BB61" s="103"/>
      <c r="BC61" s="128"/>
      <c r="BD61" s="136"/>
      <c r="BE61" s="136"/>
      <c r="BF61" s="129"/>
      <c r="BG61" s="129"/>
      <c r="BH61" s="136">
        <v>0.80200000000000005</v>
      </c>
      <c r="BI61" s="131"/>
      <c r="BJ61" s="103"/>
      <c r="BK61" s="128"/>
      <c r="BL61" s="136"/>
      <c r="BM61" s="136"/>
      <c r="BN61" s="129"/>
      <c r="BO61" s="129"/>
      <c r="BP61" s="136">
        <v>0.79400000000000004</v>
      </c>
      <c r="BQ61" s="131"/>
      <c r="BR61" s="103"/>
      <c r="BS61" s="128"/>
      <c r="BT61" s="136"/>
      <c r="BU61" s="136"/>
      <c r="BV61" s="129"/>
      <c r="BW61" s="129"/>
      <c r="BX61" s="136">
        <v>0.84699999999999998</v>
      </c>
      <c r="BY61" s="131"/>
      <c r="BZ61" s="103"/>
      <c r="CA61" s="128"/>
      <c r="CB61" s="136"/>
      <c r="CC61" s="136"/>
      <c r="CD61" s="129"/>
      <c r="CE61" s="129"/>
      <c r="CF61" s="136">
        <v>0.84699999999999998</v>
      </c>
      <c r="CG61" s="131"/>
      <c r="CH61" s="129"/>
      <c r="CI61" s="128"/>
      <c r="CJ61" s="136"/>
      <c r="CK61" s="136"/>
      <c r="CL61" s="129"/>
      <c r="CM61" s="129"/>
      <c r="CN61" s="136">
        <v>0.873</v>
      </c>
      <c r="CO61" s="131"/>
      <c r="CP61" s="132"/>
      <c r="CQ61" s="128"/>
      <c r="CR61" s="133"/>
      <c r="CS61" s="134"/>
      <c r="CT61" s="135"/>
      <c r="CU61" s="134"/>
      <c r="CV61" s="136">
        <v>0.875</v>
      </c>
      <c r="CW61" s="137"/>
      <c r="CX61" s="132"/>
      <c r="CY61" s="128"/>
      <c r="CZ61" s="133"/>
      <c r="DA61" s="134"/>
      <c r="DB61" s="135"/>
      <c r="DC61" s="134"/>
      <c r="DD61" s="136">
        <v>0.872</v>
      </c>
      <c r="DE61" s="137"/>
      <c r="DF61" s="132"/>
      <c r="DG61" s="128"/>
      <c r="DH61" s="133"/>
      <c r="DI61" s="134"/>
      <c r="DJ61" s="135"/>
      <c r="DK61" s="134"/>
      <c r="DL61" s="136">
        <v>0.879</v>
      </c>
      <c r="DM61" s="137"/>
    </row>
    <row r="62" spans="1:117" s="100" customFormat="1" x14ac:dyDescent="0.25">
      <c r="A62" s="95"/>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39"/>
      <c r="AX62" s="139"/>
      <c r="AY62" s="139"/>
      <c r="AZ62" s="139"/>
      <c r="BA62" s="139"/>
      <c r="BB62" s="139"/>
      <c r="BC62" s="139"/>
      <c r="BD62" s="139"/>
      <c r="BE62" s="139"/>
      <c r="BF62" s="139"/>
      <c r="BG62" s="139"/>
      <c r="BH62" s="139"/>
      <c r="BI62" s="139"/>
      <c r="BJ62" s="139"/>
      <c r="BK62" s="139"/>
      <c r="BL62" s="139"/>
      <c r="BM62" s="139"/>
      <c r="BN62" s="139"/>
      <c r="BO62" s="139"/>
      <c r="BP62" s="139"/>
      <c r="BQ62" s="139"/>
      <c r="BR62" s="139"/>
      <c r="BS62" s="139"/>
      <c r="BT62" s="139"/>
      <c r="BU62" s="139"/>
      <c r="BV62" s="139"/>
      <c r="BW62" s="139"/>
      <c r="BX62" s="139"/>
      <c r="BY62" s="139"/>
      <c r="BZ62" s="139"/>
      <c r="CA62" s="139"/>
      <c r="CB62" s="139"/>
      <c r="CC62" s="139"/>
      <c r="CD62" s="139"/>
      <c r="CE62" s="139"/>
      <c r="CF62" s="139"/>
      <c r="CG62" s="139"/>
      <c r="CH62" s="139"/>
      <c r="CI62" s="139"/>
      <c r="CJ62" s="139"/>
      <c r="CK62" s="140"/>
      <c r="CL62" s="140"/>
      <c r="CM62" s="140"/>
      <c r="CN62" s="140"/>
      <c r="CO62" s="140"/>
      <c r="CQ62" s="141"/>
      <c r="CR62" s="142"/>
      <c r="CS62" s="142"/>
      <c r="CU62" s="142"/>
      <c r="CV62" s="142"/>
      <c r="CY62" s="141"/>
      <c r="CZ62" s="141"/>
      <c r="DA62" s="142"/>
      <c r="DB62" s="142"/>
      <c r="DC62" s="142"/>
      <c r="DD62" s="142"/>
      <c r="DE62" s="142"/>
      <c r="DG62" s="141"/>
      <c r="DH62" s="141"/>
      <c r="DI62" s="142"/>
      <c r="DJ62" s="142"/>
      <c r="DK62" s="142"/>
      <c r="DL62" s="142"/>
      <c r="DM62" s="142"/>
    </row>
    <row r="63" spans="1:117" outlineLevel="1" x14ac:dyDescent="0.25">
      <c r="B63" s="275" t="s">
        <v>37</v>
      </c>
      <c r="E63" s="276">
        <f>E17-E18-E19</f>
        <v>0</v>
      </c>
      <c r="G63" s="276">
        <f t="shared" ref="G63:M63" si="46">G17-G18-G19</f>
        <v>0</v>
      </c>
      <c r="H63" s="276">
        <f t="shared" si="46"/>
        <v>0</v>
      </c>
      <c r="I63" s="276">
        <f t="shared" si="46"/>
        <v>0</v>
      </c>
      <c r="J63" s="276">
        <f t="shared" si="46"/>
        <v>0</v>
      </c>
      <c r="K63" s="276">
        <f t="shared" si="46"/>
        <v>0</v>
      </c>
      <c r="L63" s="276">
        <f t="shared" si="46"/>
        <v>0</v>
      </c>
      <c r="M63" s="276">
        <f t="shared" si="46"/>
        <v>0</v>
      </c>
      <c r="O63" s="276">
        <f t="shared" ref="O63:U63" si="47">O17-O18-O19</f>
        <v>0</v>
      </c>
      <c r="P63" s="276">
        <f t="shared" si="47"/>
        <v>0</v>
      </c>
      <c r="Q63" s="276">
        <f t="shared" si="47"/>
        <v>0</v>
      </c>
      <c r="R63" s="276">
        <f t="shared" si="47"/>
        <v>0</v>
      </c>
      <c r="S63" s="276">
        <f t="shared" si="47"/>
        <v>0</v>
      </c>
      <c r="T63" s="276">
        <f t="shared" si="47"/>
        <v>0</v>
      </c>
      <c r="U63" s="276">
        <f t="shared" si="47"/>
        <v>0</v>
      </c>
      <c r="W63" s="276">
        <f t="shared" ref="W63:AC63" si="48">W17-W18-W19</f>
        <v>0</v>
      </c>
      <c r="X63" s="276">
        <f t="shared" si="48"/>
        <v>0</v>
      </c>
      <c r="Y63" s="276">
        <f t="shared" si="48"/>
        <v>0</v>
      </c>
      <c r="Z63" s="276">
        <f t="shared" si="48"/>
        <v>0</v>
      </c>
      <c r="AA63" s="276">
        <f t="shared" si="48"/>
        <v>0</v>
      </c>
      <c r="AB63" s="276">
        <f t="shared" si="48"/>
        <v>-0.99999999999272404</v>
      </c>
      <c r="AC63" s="276">
        <f t="shared" si="48"/>
        <v>-0.99999999999272404</v>
      </c>
      <c r="AE63" s="276">
        <f t="shared" ref="AE63:AK63" si="49">AE17-AE18-AE19</f>
        <v>0</v>
      </c>
      <c r="AF63" s="276">
        <f t="shared" si="49"/>
        <v>0</v>
      </c>
      <c r="AG63" s="276">
        <f t="shared" si="49"/>
        <v>0</v>
      </c>
      <c r="AH63" s="276">
        <f t="shared" si="49"/>
        <v>0</v>
      </c>
      <c r="AI63" s="276">
        <f t="shared" si="49"/>
        <v>0</v>
      </c>
      <c r="AJ63" s="276">
        <f t="shared" si="49"/>
        <v>0</v>
      </c>
      <c r="AK63" s="276">
        <f t="shared" si="49"/>
        <v>0</v>
      </c>
      <c r="AM63" s="276">
        <f t="shared" ref="AM63:AS63" si="50">AM17-AM18-AM19</f>
        <v>0</v>
      </c>
      <c r="AN63" s="276">
        <f t="shared" si="50"/>
        <v>0</v>
      </c>
      <c r="AO63" s="276">
        <f t="shared" si="50"/>
        <v>0</v>
      </c>
      <c r="AP63" s="276">
        <f t="shared" si="50"/>
        <v>0</v>
      </c>
      <c r="AQ63" s="276">
        <f t="shared" si="50"/>
        <v>0</v>
      </c>
      <c r="AR63" s="276">
        <f t="shared" si="50"/>
        <v>0</v>
      </c>
      <c r="AS63" s="276">
        <f t="shared" si="50"/>
        <v>0</v>
      </c>
      <c r="AU63" s="276">
        <f t="shared" ref="AU63:BA63" si="51">AU17-AU18-AU19</f>
        <v>0</v>
      </c>
      <c r="AV63" s="276">
        <f t="shared" si="51"/>
        <v>0</v>
      </c>
      <c r="AW63" s="276">
        <f t="shared" si="51"/>
        <v>0</v>
      </c>
      <c r="AX63" s="276">
        <f t="shared" si="51"/>
        <v>0</v>
      </c>
      <c r="AY63" s="276">
        <f t="shared" si="51"/>
        <v>0</v>
      </c>
      <c r="AZ63" s="276">
        <f t="shared" si="51"/>
        <v>0</v>
      </c>
      <c r="BA63" s="276">
        <f t="shared" si="51"/>
        <v>0</v>
      </c>
      <c r="BC63" s="276">
        <f t="shared" ref="BC63:BI63" si="52">BC17-BC18-BC19</f>
        <v>0</v>
      </c>
      <c r="BD63" s="276">
        <f t="shared" si="52"/>
        <v>0</v>
      </c>
      <c r="BE63" s="276">
        <f t="shared" si="52"/>
        <v>0</v>
      </c>
      <c r="BF63" s="276">
        <f t="shared" si="52"/>
        <v>0</v>
      </c>
      <c r="BG63" s="276">
        <f t="shared" si="52"/>
        <v>0</v>
      </c>
      <c r="BH63" s="276">
        <f t="shared" si="52"/>
        <v>0</v>
      </c>
      <c r="BI63" s="276">
        <f t="shared" si="52"/>
        <v>0</v>
      </c>
      <c r="BK63" s="276">
        <f t="shared" ref="BK63:BQ63" si="53">BK17-BK18-BK19</f>
        <v>0</v>
      </c>
      <c r="BL63" s="276">
        <f t="shared" si="53"/>
        <v>0</v>
      </c>
      <c r="BM63" s="276">
        <f t="shared" si="53"/>
        <v>0</v>
      </c>
      <c r="BN63" s="276">
        <f t="shared" si="53"/>
        <v>0</v>
      </c>
      <c r="BO63" s="276">
        <f t="shared" si="53"/>
        <v>0</v>
      </c>
      <c r="BP63" s="276">
        <f t="shared" si="53"/>
        <v>0</v>
      </c>
      <c r="BQ63" s="276">
        <f t="shared" si="53"/>
        <v>0</v>
      </c>
      <c r="BS63" s="276">
        <f t="shared" ref="BS63:BY63" si="54">BS17-BS18-BS19</f>
        <v>0</v>
      </c>
      <c r="BT63" s="276">
        <f t="shared" si="54"/>
        <v>0</v>
      </c>
      <c r="BU63" s="276">
        <f t="shared" si="54"/>
        <v>0</v>
      </c>
      <c r="BV63" s="276">
        <f t="shared" si="54"/>
        <v>0</v>
      </c>
      <c r="BW63" s="276">
        <f t="shared" si="54"/>
        <v>0</v>
      </c>
      <c r="BX63" s="276">
        <f t="shared" si="54"/>
        <v>0</v>
      </c>
      <c r="BY63" s="276">
        <f t="shared" si="54"/>
        <v>0</v>
      </c>
      <c r="CA63" s="276">
        <f t="shared" ref="CA63:CG63" si="55">CA17-CA18-CA19</f>
        <v>0</v>
      </c>
      <c r="CB63" s="276">
        <f t="shared" si="55"/>
        <v>0</v>
      </c>
      <c r="CC63" s="276">
        <f t="shared" si="55"/>
        <v>0</v>
      </c>
      <c r="CD63" s="276">
        <f t="shared" si="55"/>
        <v>0</v>
      </c>
      <c r="CE63" s="276">
        <f t="shared" si="55"/>
        <v>0</v>
      </c>
      <c r="CF63" s="276">
        <f t="shared" si="55"/>
        <v>0</v>
      </c>
      <c r="CG63" s="276">
        <f t="shared" si="55"/>
        <v>0</v>
      </c>
      <c r="CI63" s="276">
        <f t="shared" ref="CI63:CO63" si="56">CI17-CI18-CI19</f>
        <v>0</v>
      </c>
      <c r="CJ63" s="276">
        <f t="shared" si="56"/>
        <v>0</v>
      </c>
      <c r="CK63" s="276">
        <f t="shared" si="56"/>
        <v>0</v>
      </c>
      <c r="CL63" s="276">
        <f t="shared" si="56"/>
        <v>0</v>
      </c>
      <c r="CM63" s="276">
        <f t="shared" si="56"/>
        <v>0</v>
      </c>
      <c r="CN63" s="276">
        <f t="shared" si="56"/>
        <v>0</v>
      </c>
      <c r="CO63" s="276">
        <f t="shared" si="56"/>
        <v>0</v>
      </c>
      <c r="CQ63" s="276">
        <f t="shared" ref="CQ63:CW63" si="57">CQ17-CQ18-CQ19</f>
        <v>0</v>
      </c>
      <c r="CR63" s="276">
        <f t="shared" si="57"/>
        <v>0</v>
      </c>
      <c r="CS63" s="276">
        <f t="shared" si="57"/>
        <v>0</v>
      </c>
      <c r="CT63" s="276">
        <f t="shared" si="57"/>
        <v>0</v>
      </c>
      <c r="CU63" s="276">
        <f t="shared" si="57"/>
        <v>0</v>
      </c>
      <c r="CV63" s="276">
        <f t="shared" si="57"/>
        <v>0</v>
      </c>
      <c r="CW63" s="276">
        <f t="shared" si="57"/>
        <v>0</v>
      </c>
      <c r="CY63" s="276">
        <f t="shared" ref="CY63:DE63" si="58">CY17-CY18-CY19</f>
        <v>0</v>
      </c>
      <c r="CZ63" s="276">
        <f t="shared" si="58"/>
        <v>0</v>
      </c>
      <c r="DA63" s="276">
        <f t="shared" si="58"/>
        <v>0</v>
      </c>
      <c r="DB63" s="276">
        <f t="shared" si="58"/>
        <v>0</v>
      </c>
      <c r="DC63" s="276">
        <f t="shared" si="58"/>
        <v>0</v>
      </c>
      <c r="DD63" s="276">
        <f t="shared" si="58"/>
        <v>0</v>
      </c>
      <c r="DE63" s="276">
        <f t="shared" si="58"/>
        <v>0</v>
      </c>
      <c r="DG63" s="276">
        <f t="shared" ref="DG63:DM63" si="59">DG17-DG18-DG19</f>
        <v>0</v>
      </c>
      <c r="DH63" s="276">
        <f t="shared" si="59"/>
        <v>0</v>
      </c>
      <c r="DI63" s="276">
        <f t="shared" si="59"/>
        <v>0</v>
      </c>
      <c r="DJ63" s="276">
        <f t="shared" si="59"/>
        <v>0</v>
      </c>
      <c r="DK63" s="276">
        <f t="shared" si="59"/>
        <v>0</v>
      </c>
      <c r="DL63" s="276">
        <f t="shared" si="59"/>
        <v>0</v>
      </c>
      <c r="DM63" s="276">
        <f t="shared" si="59"/>
        <v>0</v>
      </c>
    </row>
    <row r="64" spans="1:117" outlineLevel="1" x14ac:dyDescent="0.25">
      <c r="B64" s="277" t="s">
        <v>38</v>
      </c>
      <c r="E64" s="276">
        <f t="shared" ref="E64" si="60">E19-SUM(E20:E23)-E24</f>
        <v>0</v>
      </c>
      <c r="G64" s="276">
        <f t="shared" ref="G64:H64" si="61">G19-SUM(G20:G23)-G24</f>
        <v>0</v>
      </c>
      <c r="H64" s="276">
        <f t="shared" si="61"/>
        <v>0</v>
      </c>
      <c r="I64" s="276">
        <f>I19-SUM(I20:I23)-I24</f>
        <v>0</v>
      </c>
      <c r="J64" s="276">
        <f t="shared" ref="J64:M64" si="62">J19-SUM(J20:J23)-J24</f>
        <v>0</v>
      </c>
      <c r="K64" s="276">
        <f t="shared" si="62"/>
        <v>0</v>
      </c>
      <c r="L64" s="276">
        <f t="shared" si="62"/>
        <v>0</v>
      </c>
      <c r="M64" s="276">
        <f t="shared" si="62"/>
        <v>0</v>
      </c>
      <c r="O64" s="276">
        <f t="shared" ref="O64:P64" si="63">O19-SUM(O20:O23)-O24</f>
        <v>0</v>
      </c>
      <c r="P64" s="276">
        <f t="shared" si="63"/>
        <v>0</v>
      </c>
      <c r="Q64" s="276">
        <f>Q19-SUM(Q20:Q23)-Q24</f>
        <v>0</v>
      </c>
      <c r="R64" s="276">
        <f t="shared" ref="R64:U64" si="64">R19-SUM(R20:R23)-R24</f>
        <v>0</v>
      </c>
      <c r="S64" s="276">
        <f t="shared" si="64"/>
        <v>0</v>
      </c>
      <c r="T64" s="276">
        <f t="shared" si="64"/>
        <v>0</v>
      </c>
      <c r="U64" s="276">
        <f t="shared" si="64"/>
        <v>0</v>
      </c>
      <c r="W64" s="276">
        <f t="shared" ref="W64:AC64" si="65">W19-SUM(W20:W23)-W24</f>
        <v>0</v>
      </c>
      <c r="X64" s="276">
        <f t="shared" si="65"/>
        <v>0</v>
      </c>
      <c r="Y64" s="276">
        <f>Y19-SUM(Y20:Y23)-Y24</f>
        <v>0</v>
      </c>
      <c r="Z64" s="276">
        <f t="shared" si="65"/>
        <v>0</v>
      </c>
      <c r="AA64" s="276">
        <f t="shared" si="65"/>
        <v>0</v>
      </c>
      <c r="AB64" s="276">
        <f t="shared" si="65"/>
        <v>1.0000000000009095</v>
      </c>
      <c r="AC64" s="276">
        <f t="shared" si="65"/>
        <v>1</v>
      </c>
      <c r="AE64" s="276">
        <f t="shared" ref="AE64:AK64" si="66">AE19-SUM(AE20:AE23)-AE24</f>
        <v>0</v>
      </c>
      <c r="AF64" s="276">
        <f t="shared" si="66"/>
        <v>0</v>
      </c>
      <c r="AG64" s="276">
        <f t="shared" si="66"/>
        <v>0</v>
      </c>
      <c r="AH64" s="276">
        <f t="shared" si="66"/>
        <v>0</v>
      </c>
      <c r="AI64" s="276">
        <f t="shared" si="66"/>
        <v>0</v>
      </c>
      <c r="AJ64" s="276">
        <f t="shared" si="66"/>
        <v>0</v>
      </c>
      <c r="AK64" s="276">
        <f t="shared" si="66"/>
        <v>0</v>
      </c>
      <c r="AM64" s="276">
        <f t="shared" ref="AM64:AS64" si="67">AM19-SUM(AM20:AM23)-AM24</f>
        <v>0</v>
      </c>
      <c r="AN64" s="276">
        <f t="shared" si="67"/>
        <v>0</v>
      </c>
      <c r="AO64" s="276">
        <f t="shared" si="67"/>
        <v>0</v>
      </c>
      <c r="AP64" s="276">
        <f t="shared" si="67"/>
        <v>0</v>
      </c>
      <c r="AQ64" s="276">
        <f t="shared" si="67"/>
        <v>0</v>
      </c>
      <c r="AR64" s="276">
        <f t="shared" si="67"/>
        <v>0</v>
      </c>
      <c r="AS64" s="276">
        <f t="shared" si="67"/>
        <v>0</v>
      </c>
      <c r="AU64" s="276">
        <f t="shared" ref="AU64:BA64" si="68">AU19-SUM(AU20:AU23)-AU24</f>
        <v>0</v>
      </c>
      <c r="AV64" s="276">
        <f t="shared" si="68"/>
        <v>0</v>
      </c>
      <c r="AW64" s="276">
        <f t="shared" si="68"/>
        <v>0</v>
      </c>
      <c r="AX64" s="276">
        <f t="shared" si="68"/>
        <v>0</v>
      </c>
      <c r="AY64" s="276">
        <f t="shared" si="68"/>
        <v>0</v>
      </c>
      <c r="AZ64" s="276">
        <f t="shared" si="68"/>
        <v>0</v>
      </c>
      <c r="BA64" s="276">
        <f t="shared" si="68"/>
        <v>0</v>
      </c>
      <c r="BC64" s="276">
        <f t="shared" ref="BC64:BI64" si="69">BC19-SUM(BC20:BC23)-BC24</f>
        <v>0</v>
      </c>
      <c r="BD64" s="276">
        <f t="shared" si="69"/>
        <v>0</v>
      </c>
      <c r="BE64" s="276">
        <f t="shared" si="69"/>
        <v>0</v>
      </c>
      <c r="BF64" s="276">
        <f t="shared" si="69"/>
        <v>0</v>
      </c>
      <c r="BG64" s="276">
        <f t="shared" si="69"/>
        <v>0</v>
      </c>
      <c r="BH64" s="276">
        <f t="shared" si="69"/>
        <v>0</v>
      </c>
      <c r="BI64" s="276">
        <f t="shared" si="69"/>
        <v>0</v>
      </c>
      <c r="BK64" s="276">
        <f t="shared" ref="BK64:BQ64" si="70">BK19-SUM(BK20:BK23)-BK24</f>
        <v>0</v>
      </c>
      <c r="BL64" s="276">
        <f t="shared" si="70"/>
        <v>0</v>
      </c>
      <c r="BM64" s="276">
        <f t="shared" si="70"/>
        <v>0</v>
      </c>
      <c r="BN64" s="276">
        <f t="shared" si="70"/>
        <v>0</v>
      </c>
      <c r="BO64" s="276">
        <f t="shared" si="70"/>
        <v>0</v>
      </c>
      <c r="BP64" s="276">
        <f t="shared" si="70"/>
        <v>0</v>
      </c>
      <c r="BQ64" s="276">
        <f t="shared" si="70"/>
        <v>0</v>
      </c>
      <c r="BS64" s="276">
        <f t="shared" ref="BS64:BY64" si="71">BS19-SUM(BS20:BS23)-BS24</f>
        <v>0</v>
      </c>
      <c r="BT64" s="276">
        <f t="shared" si="71"/>
        <v>0</v>
      </c>
      <c r="BU64" s="276">
        <f t="shared" si="71"/>
        <v>0</v>
      </c>
      <c r="BV64" s="276">
        <f t="shared" si="71"/>
        <v>0</v>
      </c>
      <c r="BW64" s="276">
        <f t="shared" si="71"/>
        <v>0</v>
      </c>
      <c r="BX64" s="276">
        <f t="shared" si="71"/>
        <v>0</v>
      </c>
      <c r="BY64" s="276">
        <f t="shared" si="71"/>
        <v>0</v>
      </c>
      <c r="CA64" s="276">
        <f t="shared" ref="CA64:CG64" si="72">CA19-SUM(CA20:CA23)-CA24</f>
        <v>0</v>
      </c>
      <c r="CB64" s="276">
        <f t="shared" si="72"/>
        <v>0</v>
      </c>
      <c r="CC64" s="276">
        <f t="shared" si="72"/>
        <v>0</v>
      </c>
      <c r="CD64" s="276">
        <f t="shared" si="72"/>
        <v>0</v>
      </c>
      <c r="CE64" s="276">
        <f t="shared" si="72"/>
        <v>0</v>
      </c>
      <c r="CF64" s="276">
        <f t="shared" si="72"/>
        <v>0</v>
      </c>
      <c r="CG64" s="276">
        <f t="shared" si="72"/>
        <v>0</v>
      </c>
      <c r="CI64" s="276">
        <f t="shared" ref="CI64:CO64" si="73">CI19-SUM(CI20:CI23)-CI24</f>
        <v>0</v>
      </c>
      <c r="CJ64" s="276">
        <f t="shared" si="73"/>
        <v>0</v>
      </c>
      <c r="CK64" s="276">
        <f t="shared" si="73"/>
        <v>0</v>
      </c>
      <c r="CL64" s="276">
        <f t="shared" si="73"/>
        <v>0</v>
      </c>
      <c r="CM64" s="276">
        <f t="shared" si="73"/>
        <v>0</v>
      </c>
      <c r="CN64" s="276">
        <f t="shared" si="73"/>
        <v>0</v>
      </c>
      <c r="CO64" s="276">
        <f t="shared" si="73"/>
        <v>0</v>
      </c>
      <c r="CQ64" s="276">
        <f t="shared" ref="CQ64:CW64" si="74">CQ19-SUM(CQ20:CQ23)-CQ24</f>
        <v>0</v>
      </c>
      <c r="CR64" s="276">
        <f t="shared" si="74"/>
        <v>0</v>
      </c>
      <c r="CS64" s="276">
        <f t="shared" si="74"/>
        <v>0</v>
      </c>
      <c r="CT64" s="276">
        <f t="shared" si="74"/>
        <v>0</v>
      </c>
      <c r="CU64" s="276">
        <f t="shared" si="74"/>
        <v>0</v>
      </c>
      <c r="CV64" s="276">
        <f t="shared" si="74"/>
        <v>0</v>
      </c>
      <c r="CW64" s="276">
        <f t="shared" si="74"/>
        <v>0</v>
      </c>
      <c r="CY64" s="276">
        <f t="shared" ref="CY64:DE64" si="75">CY19-SUM(CY20:CY23)-CY24</f>
        <v>0</v>
      </c>
      <c r="CZ64" s="276">
        <f t="shared" si="75"/>
        <v>0</v>
      </c>
      <c r="DA64" s="276">
        <f t="shared" si="75"/>
        <v>0</v>
      </c>
      <c r="DB64" s="276">
        <f t="shared" si="75"/>
        <v>0</v>
      </c>
      <c r="DC64" s="276">
        <f t="shared" si="75"/>
        <v>0</v>
      </c>
      <c r="DD64" s="276">
        <f t="shared" si="75"/>
        <v>0</v>
      </c>
      <c r="DE64" s="276">
        <f t="shared" si="75"/>
        <v>0</v>
      </c>
      <c r="DG64" s="276">
        <f t="shared" ref="DG64:DM64" si="76">DG19-SUM(DG20:DG23)-DG24</f>
        <v>0</v>
      </c>
      <c r="DH64" s="276">
        <f t="shared" si="76"/>
        <v>0</v>
      </c>
      <c r="DI64" s="276">
        <f t="shared" si="76"/>
        <v>0</v>
      </c>
      <c r="DJ64" s="276">
        <f t="shared" si="76"/>
        <v>0</v>
      </c>
      <c r="DK64" s="276">
        <f t="shared" si="76"/>
        <v>0</v>
      </c>
      <c r="DL64" s="276">
        <f t="shared" si="76"/>
        <v>0</v>
      </c>
      <c r="DM64" s="276">
        <f t="shared" si="76"/>
        <v>0</v>
      </c>
    </row>
    <row r="65" spans="1:117" outlineLevel="1" x14ac:dyDescent="0.25">
      <c r="B65" s="277" t="s">
        <v>24</v>
      </c>
      <c r="E65" s="276">
        <f t="shared" ref="E65" si="77">E24-SUM(E25:E28)-E29</f>
        <v>0</v>
      </c>
      <c r="G65" s="276">
        <f t="shared" ref="G65:M65" si="78">G24-SUM(G25:G28)-G29</f>
        <v>0</v>
      </c>
      <c r="H65" s="276">
        <f t="shared" si="78"/>
        <v>0</v>
      </c>
      <c r="I65" s="276">
        <f t="shared" si="78"/>
        <v>0</v>
      </c>
      <c r="J65" s="276">
        <f t="shared" si="78"/>
        <v>0</v>
      </c>
      <c r="K65" s="276">
        <f t="shared" si="78"/>
        <v>0</v>
      </c>
      <c r="L65" s="276">
        <f t="shared" si="78"/>
        <v>0</v>
      </c>
      <c r="M65" s="276">
        <f t="shared" si="78"/>
        <v>0</v>
      </c>
      <c r="O65" s="276">
        <f t="shared" ref="O65:U65" si="79">O24-SUM(O25:O28)-O29</f>
        <v>0</v>
      </c>
      <c r="P65" s="276">
        <f t="shared" si="79"/>
        <v>0</v>
      </c>
      <c r="Q65" s="276">
        <f t="shared" si="79"/>
        <v>0</v>
      </c>
      <c r="R65" s="276">
        <f t="shared" si="79"/>
        <v>0</v>
      </c>
      <c r="S65" s="276">
        <f t="shared" si="79"/>
        <v>0</v>
      </c>
      <c r="T65" s="276">
        <f t="shared" si="79"/>
        <v>0</v>
      </c>
      <c r="U65" s="276">
        <f t="shared" si="79"/>
        <v>0</v>
      </c>
      <c r="W65" s="276">
        <f t="shared" ref="W65:AC65" si="80">W24-SUM(W25:W28)-W29</f>
        <v>0</v>
      </c>
      <c r="X65" s="276">
        <f t="shared" si="80"/>
        <v>0</v>
      </c>
      <c r="Y65" s="276">
        <f t="shared" ref="Y65" si="81">Y24-SUM(Y25:Y28)-Y29</f>
        <v>0</v>
      </c>
      <c r="Z65" s="276">
        <f t="shared" si="80"/>
        <v>0</v>
      </c>
      <c r="AA65" s="276">
        <f t="shared" si="80"/>
        <v>0</v>
      </c>
      <c r="AB65" s="276">
        <f t="shared" si="80"/>
        <v>-5.0570000000002437</v>
      </c>
      <c r="AC65" s="276">
        <f t="shared" si="80"/>
        <v>-5.0570000000006985</v>
      </c>
      <c r="AE65" s="276">
        <f t="shared" ref="AE65:AK65" si="82">AE24-SUM(AE25:AE28)-AE29</f>
        <v>0</v>
      </c>
      <c r="AF65" s="276">
        <f t="shared" si="82"/>
        <v>0</v>
      </c>
      <c r="AG65" s="276">
        <f t="shared" si="82"/>
        <v>0</v>
      </c>
      <c r="AH65" s="276">
        <f t="shared" si="82"/>
        <v>0</v>
      </c>
      <c r="AI65" s="276">
        <f t="shared" si="82"/>
        <v>0</v>
      </c>
      <c r="AJ65" s="276">
        <f t="shared" si="82"/>
        <v>0</v>
      </c>
      <c r="AK65" s="276">
        <f t="shared" si="82"/>
        <v>0</v>
      </c>
      <c r="AM65" s="276">
        <f t="shared" ref="AM65:AS65" si="83">AM24-SUM(AM25:AM28)-AM29</f>
        <v>0</v>
      </c>
      <c r="AN65" s="276">
        <f t="shared" si="83"/>
        <v>0</v>
      </c>
      <c r="AO65" s="276">
        <f t="shared" si="83"/>
        <v>0</v>
      </c>
      <c r="AP65" s="276">
        <f t="shared" si="83"/>
        <v>0</v>
      </c>
      <c r="AQ65" s="276">
        <f t="shared" si="83"/>
        <v>0</v>
      </c>
      <c r="AR65" s="276">
        <f t="shared" si="83"/>
        <v>0</v>
      </c>
      <c r="AS65" s="276">
        <f t="shared" si="83"/>
        <v>0</v>
      </c>
      <c r="AU65" s="276">
        <f t="shared" ref="AU65:BA65" si="84">AU24-SUM(AU25:AU28)-AU29</f>
        <v>0</v>
      </c>
      <c r="AV65" s="276">
        <f t="shared" si="84"/>
        <v>0</v>
      </c>
      <c r="AW65" s="276">
        <f t="shared" si="84"/>
        <v>0</v>
      </c>
      <c r="AX65" s="276">
        <f t="shared" si="84"/>
        <v>0</v>
      </c>
      <c r="AY65" s="276">
        <f t="shared" si="84"/>
        <v>0</v>
      </c>
      <c r="AZ65" s="276">
        <f t="shared" si="84"/>
        <v>0</v>
      </c>
      <c r="BA65" s="276">
        <f t="shared" si="84"/>
        <v>0</v>
      </c>
      <c r="BC65" s="276">
        <f t="shared" ref="BC65:BI65" si="85">BC24-SUM(BC25:BC28)-BC29</f>
        <v>0</v>
      </c>
      <c r="BD65" s="276">
        <f t="shared" si="85"/>
        <v>0</v>
      </c>
      <c r="BE65" s="276">
        <f t="shared" si="85"/>
        <v>0</v>
      </c>
      <c r="BF65" s="276">
        <f t="shared" si="85"/>
        <v>0</v>
      </c>
      <c r="BG65" s="276">
        <f t="shared" si="85"/>
        <v>0</v>
      </c>
      <c r="BH65" s="276">
        <f t="shared" si="85"/>
        <v>0</v>
      </c>
      <c r="BI65" s="276">
        <f t="shared" si="85"/>
        <v>0</v>
      </c>
      <c r="BK65" s="276">
        <f t="shared" ref="BK65:BQ65" si="86">BK24-SUM(BK25:BK28)-BK29</f>
        <v>0</v>
      </c>
      <c r="BL65" s="276">
        <f t="shared" si="86"/>
        <v>0</v>
      </c>
      <c r="BM65" s="276">
        <f t="shared" si="86"/>
        <v>0</v>
      </c>
      <c r="BN65" s="276">
        <f t="shared" si="86"/>
        <v>0</v>
      </c>
      <c r="BO65" s="276">
        <f t="shared" si="86"/>
        <v>0</v>
      </c>
      <c r="BP65" s="276">
        <f t="shared" si="86"/>
        <v>0</v>
      </c>
      <c r="BQ65" s="276">
        <f t="shared" si="86"/>
        <v>0</v>
      </c>
      <c r="BS65" s="276">
        <f t="shared" ref="BS65:BY65" si="87">BS24-SUM(BS25:BS28)-BS29</f>
        <v>0</v>
      </c>
      <c r="BT65" s="276">
        <f t="shared" si="87"/>
        <v>0</v>
      </c>
      <c r="BU65" s="276">
        <f t="shared" si="87"/>
        <v>0</v>
      </c>
      <c r="BV65" s="276">
        <f t="shared" si="87"/>
        <v>0</v>
      </c>
      <c r="BW65" s="276">
        <f t="shared" si="87"/>
        <v>0</v>
      </c>
      <c r="BX65" s="276">
        <f t="shared" si="87"/>
        <v>0</v>
      </c>
      <c r="BY65" s="276">
        <f t="shared" si="87"/>
        <v>0</v>
      </c>
      <c r="CA65" s="276">
        <f t="shared" ref="CA65:CG65" si="88">CA24-SUM(CA25:CA28)-CA29</f>
        <v>0</v>
      </c>
      <c r="CB65" s="276">
        <f t="shared" si="88"/>
        <v>0</v>
      </c>
      <c r="CC65" s="276">
        <f t="shared" si="88"/>
        <v>0</v>
      </c>
      <c r="CD65" s="276">
        <f t="shared" si="88"/>
        <v>0</v>
      </c>
      <c r="CE65" s="276">
        <f t="shared" si="88"/>
        <v>0</v>
      </c>
      <c r="CF65" s="276">
        <f t="shared" si="88"/>
        <v>0</v>
      </c>
      <c r="CG65" s="276">
        <f t="shared" si="88"/>
        <v>0</v>
      </c>
      <c r="CI65" s="276">
        <f t="shared" ref="CI65:CO65" si="89">CI24-SUM(CI25:CI28)-CI29</f>
        <v>0</v>
      </c>
      <c r="CJ65" s="276">
        <f t="shared" si="89"/>
        <v>0</v>
      </c>
      <c r="CK65" s="276">
        <f t="shared" si="89"/>
        <v>0</v>
      </c>
      <c r="CL65" s="276">
        <f t="shared" si="89"/>
        <v>0</v>
      </c>
      <c r="CM65" s="276">
        <f t="shared" si="89"/>
        <v>0</v>
      </c>
      <c r="CN65" s="276">
        <f t="shared" si="89"/>
        <v>0</v>
      </c>
      <c r="CO65" s="276">
        <f t="shared" si="89"/>
        <v>0</v>
      </c>
      <c r="CQ65" s="276">
        <f t="shared" ref="CQ65:CW65" si="90">CQ24-SUM(CQ25:CQ28)-CQ29</f>
        <v>0</v>
      </c>
      <c r="CR65" s="276">
        <f t="shared" si="90"/>
        <v>0</v>
      </c>
      <c r="CS65" s="276">
        <f t="shared" si="90"/>
        <v>0</v>
      </c>
      <c r="CT65" s="276">
        <f t="shared" si="90"/>
        <v>0</v>
      </c>
      <c r="CU65" s="276">
        <f t="shared" si="90"/>
        <v>0</v>
      </c>
      <c r="CV65" s="276">
        <f t="shared" si="90"/>
        <v>0</v>
      </c>
      <c r="CW65" s="276">
        <f t="shared" si="90"/>
        <v>0</v>
      </c>
      <c r="CY65" s="276">
        <f t="shared" ref="CY65:DE65" si="91">CY24-SUM(CY25:CY28)-CY29</f>
        <v>0</v>
      </c>
      <c r="CZ65" s="276">
        <f t="shared" si="91"/>
        <v>0</v>
      </c>
      <c r="DA65" s="276">
        <f t="shared" si="91"/>
        <v>0</v>
      </c>
      <c r="DB65" s="276">
        <f t="shared" si="91"/>
        <v>0</v>
      </c>
      <c r="DC65" s="276">
        <f t="shared" si="91"/>
        <v>0</v>
      </c>
      <c r="DD65" s="276">
        <f t="shared" si="91"/>
        <v>0</v>
      </c>
      <c r="DE65" s="276">
        <f t="shared" si="91"/>
        <v>0</v>
      </c>
      <c r="DG65" s="276">
        <f t="shared" ref="DG65:DM65" si="92">DG24-SUM(DG25:DG28)-DG29</f>
        <v>0</v>
      </c>
      <c r="DH65" s="276">
        <f t="shared" si="92"/>
        <v>0</v>
      </c>
      <c r="DI65" s="276">
        <f t="shared" si="92"/>
        <v>0</v>
      </c>
      <c r="DJ65" s="276">
        <f t="shared" si="92"/>
        <v>0</v>
      </c>
      <c r="DK65" s="276">
        <f t="shared" si="92"/>
        <v>0</v>
      </c>
      <c r="DL65" s="276">
        <f t="shared" si="92"/>
        <v>0</v>
      </c>
      <c r="DM65" s="276">
        <f t="shared" si="92"/>
        <v>0</v>
      </c>
    </row>
    <row r="66" spans="1:117" outlineLevel="1" x14ac:dyDescent="0.25">
      <c r="B66" s="277" t="s">
        <v>57</v>
      </c>
      <c r="E66" s="276">
        <f t="shared" ref="E66" si="93">SUM(E29:E35)-E36</f>
        <v>0</v>
      </c>
      <c r="G66" s="276">
        <f t="shared" ref="G66:H66" si="94">SUM(G29:G35)-G36</f>
        <v>0</v>
      </c>
      <c r="H66" s="276">
        <f t="shared" si="94"/>
        <v>0</v>
      </c>
      <c r="I66" s="276">
        <f>SUM(I29:I35)-I36</f>
        <v>0</v>
      </c>
      <c r="J66" s="276">
        <f t="shared" ref="J66:M66" si="95">SUM(J29:J35)-J36</f>
        <v>0</v>
      </c>
      <c r="K66" s="276">
        <f t="shared" si="95"/>
        <v>0</v>
      </c>
      <c r="L66" s="276">
        <f t="shared" si="95"/>
        <v>0</v>
      </c>
      <c r="M66" s="276">
        <f t="shared" si="95"/>
        <v>0</v>
      </c>
      <c r="O66" s="276">
        <f t="shared" ref="O66:P66" si="96">SUM(O29:O35)-O36</f>
        <v>0</v>
      </c>
      <c r="P66" s="276">
        <f t="shared" si="96"/>
        <v>0</v>
      </c>
      <c r="Q66" s="276">
        <f>SUM(Q29:Q35)-Q36</f>
        <v>0</v>
      </c>
      <c r="R66" s="276">
        <f t="shared" ref="R66:U66" si="97">SUM(R29:R35)-R36</f>
        <v>0</v>
      </c>
      <c r="S66" s="276">
        <f t="shared" si="97"/>
        <v>0</v>
      </c>
      <c r="T66" s="276">
        <f t="shared" si="97"/>
        <v>0</v>
      </c>
      <c r="U66" s="276">
        <f t="shared" si="97"/>
        <v>0</v>
      </c>
      <c r="W66" s="276">
        <f t="shared" ref="W66:AC66" si="98">SUM(W29:W35)-W36</f>
        <v>0</v>
      </c>
      <c r="X66" s="276">
        <f t="shared" si="98"/>
        <v>0</v>
      </c>
      <c r="Y66" s="276">
        <f>SUM(Y29:Y35)-Y36</f>
        <v>0</v>
      </c>
      <c r="Z66" s="276">
        <f t="shared" si="98"/>
        <v>0</v>
      </c>
      <c r="AA66" s="276">
        <f t="shared" si="98"/>
        <v>0</v>
      </c>
      <c r="AB66" s="276">
        <f t="shared" si="98"/>
        <v>0.11799999999857391</v>
      </c>
      <c r="AC66" s="276">
        <f t="shared" si="98"/>
        <v>0.11799999999857391</v>
      </c>
      <c r="AE66" s="276">
        <f t="shared" ref="AE66:AK66" si="99">SUM(AE29:AE35)-AE36</f>
        <v>0</v>
      </c>
      <c r="AF66" s="276">
        <f t="shared" si="99"/>
        <v>-0.21699999999964348</v>
      </c>
      <c r="AG66" s="276">
        <f t="shared" si="99"/>
        <v>-0.21700000000055297</v>
      </c>
      <c r="AH66" s="276">
        <f t="shared" si="99"/>
        <v>0.21699999999964348</v>
      </c>
      <c r="AI66" s="276">
        <f t="shared" si="99"/>
        <v>0</v>
      </c>
      <c r="AJ66" s="276">
        <f t="shared" si="99"/>
        <v>0</v>
      </c>
      <c r="AK66" s="276">
        <f t="shared" si="99"/>
        <v>0</v>
      </c>
      <c r="AM66" s="276">
        <f t="shared" ref="AM66:AS66" si="100">SUM(AM29:AM35)-AM36</f>
        <v>0</v>
      </c>
      <c r="AN66" s="276">
        <f t="shared" si="100"/>
        <v>0</v>
      </c>
      <c r="AO66" s="276">
        <f t="shared" si="100"/>
        <v>0</v>
      </c>
      <c r="AP66" s="276">
        <f t="shared" si="100"/>
        <v>0</v>
      </c>
      <c r="AQ66" s="276">
        <f t="shared" si="100"/>
        <v>0</v>
      </c>
      <c r="AR66" s="276">
        <f t="shared" si="100"/>
        <v>0</v>
      </c>
      <c r="AS66" s="276">
        <f t="shared" si="100"/>
        <v>0</v>
      </c>
      <c r="AU66" s="276">
        <f t="shared" ref="AU66:BA66" si="101">SUM(AU29:AU35)-AU36</f>
        <v>0</v>
      </c>
      <c r="AV66" s="276">
        <f t="shared" si="101"/>
        <v>0</v>
      </c>
      <c r="AW66" s="276">
        <f t="shared" si="101"/>
        <v>0</v>
      </c>
      <c r="AX66" s="276">
        <f t="shared" si="101"/>
        <v>0</v>
      </c>
      <c r="AY66" s="276">
        <f t="shared" si="101"/>
        <v>0</v>
      </c>
      <c r="AZ66" s="276">
        <f t="shared" si="101"/>
        <v>0</v>
      </c>
      <c r="BA66" s="276">
        <f t="shared" si="101"/>
        <v>0</v>
      </c>
      <c r="BC66" s="276">
        <f t="shared" ref="BC66:BI66" si="102">SUM(BC29:BC35)-BC36</f>
        <v>0</v>
      </c>
      <c r="BD66" s="276">
        <f t="shared" si="102"/>
        <v>0</v>
      </c>
      <c r="BE66" s="276">
        <f t="shared" si="102"/>
        <v>0</v>
      </c>
      <c r="BF66" s="276">
        <f t="shared" si="102"/>
        <v>0</v>
      </c>
      <c r="BG66" s="276">
        <f t="shared" si="102"/>
        <v>0</v>
      </c>
      <c r="BH66" s="276">
        <f t="shared" si="102"/>
        <v>0</v>
      </c>
      <c r="BI66" s="276">
        <f t="shared" si="102"/>
        <v>0</v>
      </c>
      <c r="BK66" s="276">
        <f t="shared" ref="BK66:BQ66" si="103">SUM(BK29:BK35)-BK36</f>
        <v>0</v>
      </c>
      <c r="BL66" s="276">
        <f t="shared" si="103"/>
        <v>0</v>
      </c>
      <c r="BM66" s="276">
        <f t="shared" si="103"/>
        <v>0</v>
      </c>
      <c r="BN66" s="276">
        <f t="shared" si="103"/>
        <v>0</v>
      </c>
      <c r="BO66" s="276">
        <f t="shared" si="103"/>
        <v>0</v>
      </c>
      <c r="BP66" s="276">
        <f t="shared" si="103"/>
        <v>0</v>
      </c>
      <c r="BQ66" s="276">
        <f t="shared" si="103"/>
        <v>0</v>
      </c>
      <c r="BS66" s="276">
        <f t="shared" ref="BS66:BY66" si="104">SUM(BS29:BS35)-BS36</f>
        <v>0</v>
      </c>
      <c r="BT66" s="276">
        <f t="shared" si="104"/>
        <v>0</v>
      </c>
      <c r="BU66" s="276">
        <f t="shared" si="104"/>
        <v>0</v>
      </c>
      <c r="BV66" s="276">
        <f t="shared" si="104"/>
        <v>0</v>
      </c>
      <c r="BW66" s="276">
        <f t="shared" si="104"/>
        <v>0</v>
      </c>
      <c r="BX66" s="276">
        <f t="shared" si="104"/>
        <v>0</v>
      </c>
      <c r="BY66" s="276">
        <f t="shared" si="104"/>
        <v>0</v>
      </c>
      <c r="CA66" s="276">
        <f t="shared" ref="CA66:CG66" si="105">SUM(CA29:CA35)-CA36</f>
        <v>0</v>
      </c>
      <c r="CB66" s="276">
        <f t="shared" si="105"/>
        <v>0</v>
      </c>
      <c r="CC66" s="276">
        <f t="shared" si="105"/>
        <v>0</v>
      </c>
      <c r="CD66" s="276">
        <f t="shared" si="105"/>
        <v>0</v>
      </c>
      <c r="CE66" s="276">
        <f t="shared" si="105"/>
        <v>0</v>
      </c>
      <c r="CF66" s="276">
        <f t="shared" si="105"/>
        <v>0</v>
      </c>
      <c r="CG66" s="276">
        <f t="shared" si="105"/>
        <v>0</v>
      </c>
      <c r="CI66" s="276">
        <f t="shared" ref="CI66:CO66" si="106">SUM(CI29:CI35)-CI36</f>
        <v>0</v>
      </c>
      <c r="CJ66" s="276">
        <f t="shared" si="106"/>
        <v>0</v>
      </c>
      <c r="CK66" s="276">
        <f t="shared" si="106"/>
        <v>0</v>
      </c>
      <c r="CL66" s="276">
        <f t="shared" si="106"/>
        <v>0</v>
      </c>
      <c r="CM66" s="276">
        <f t="shared" si="106"/>
        <v>0</v>
      </c>
      <c r="CN66" s="276">
        <f t="shared" si="106"/>
        <v>0</v>
      </c>
      <c r="CO66" s="276">
        <f t="shared" si="106"/>
        <v>0</v>
      </c>
      <c r="CQ66" s="276">
        <f t="shared" ref="CQ66:CW66" si="107">SUM(CQ29:CQ35)-CQ36</f>
        <v>0</v>
      </c>
      <c r="CR66" s="276">
        <f t="shared" si="107"/>
        <v>0</v>
      </c>
      <c r="CS66" s="276">
        <f t="shared" si="107"/>
        <v>0</v>
      </c>
      <c r="CT66" s="276">
        <f t="shared" si="107"/>
        <v>0</v>
      </c>
      <c r="CU66" s="276">
        <f t="shared" si="107"/>
        <v>0</v>
      </c>
      <c r="CV66" s="276">
        <f t="shared" si="107"/>
        <v>0</v>
      </c>
      <c r="CW66" s="276">
        <f t="shared" si="107"/>
        <v>0</v>
      </c>
      <c r="CY66" s="276">
        <f t="shared" ref="CY66:DE66" si="108">SUM(CY29:CY35)-CY36</f>
        <v>0</v>
      </c>
      <c r="CZ66" s="276">
        <f t="shared" si="108"/>
        <v>0</v>
      </c>
      <c r="DA66" s="276">
        <f t="shared" si="108"/>
        <v>0</v>
      </c>
      <c r="DB66" s="276">
        <f t="shared" si="108"/>
        <v>0</v>
      </c>
      <c r="DC66" s="276">
        <f t="shared" si="108"/>
        <v>0</v>
      </c>
      <c r="DD66" s="276">
        <f t="shared" si="108"/>
        <v>0</v>
      </c>
      <c r="DE66" s="276">
        <f t="shared" si="108"/>
        <v>0</v>
      </c>
      <c r="DG66" s="276">
        <f t="shared" ref="DG66:DM66" si="109">SUM(DG29:DG35)-DG36</f>
        <v>0</v>
      </c>
      <c r="DH66" s="276">
        <f t="shared" si="109"/>
        <v>0</v>
      </c>
      <c r="DI66" s="276">
        <f t="shared" si="109"/>
        <v>0</v>
      </c>
      <c r="DJ66" s="276">
        <f t="shared" si="109"/>
        <v>0</v>
      </c>
      <c r="DK66" s="276">
        <f t="shared" si="109"/>
        <v>0</v>
      </c>
      <c r="DL66" s="276">
        <f t="shared" si="109"/>
        <v>0</v>
      </c>
      <c r="DM66" s="276">
        <f t="shared" si="109"/>
        <v>0</v>
      </c>
    </row>
    <row r="67" spans="1:117" outlineLevel="1" x14ac:dyDescent="0.25">
      <c r="B67" s="277" t="s">
        <v>147</v>
      </c>
      <c r="E67" s="276">
        <f t="shared" ref="E67" si="110">SUM(E36:E43)-E44</f>
        <v>0</v>
      </c>
      <c r="G67" s="276">
        <f t="shared" ref="G67:M67" si="111">SUM(G36:G43)-G44</f>
        <v>0</v>
      </c>
      <c r="H67" s="276">
        <f t="shared" si="111"/>
        <v>0</v>
      </c>
      <c r="I67" s="276">
        <f t="shared" si="111"/>
        <v>0</v>
      </c>
      <c r="J67" s="276">
        <f t="shared" si="111"/>
        <v>0</v>
      </c>
      <c r="K67" s="276">
        <f t="shared" si="111"/>
        <v>1</v>
      </c>
      <c r="L67" s="276">
        <f t="shared" si="111"/>
        <v>0</v>
      </c>
      <c r="M67" s="276">
        <f t="shared" si="111"/>
        <v>0</v>
      </c>
      <c r="O67" s="276">
        <f t="shared" ref="O67:U67" si="112">SUM(O36:O43)-O44</f>
        <v>0</v>
      </c>
      <c r="P67" s="276">
        <f t="shared" si="112"/>
        <v>0</v>
      </c>
      <c r="Q67" s="276">
        <f t="shared" si="112"/>
        <v>0</v>
      </c>
      <c r="R67" s="276">
        <f t="shared" si="112"/>
        <v>0</v>
      </c>
      <c r="S67" s="276">
        <f t="shared" si="112"/>
        <v>0</v>
      </c>
      <c r="T67" s="276">
        <f t="shared" si="112"/>
        <v>0</v>
      </c>
      <c r="U67" s="276">
        <f t="shared" si="112"/>
        <v>0</v>
      </c>
      <c r="W67" s="276">
        <f t="shared" ref="W67:AC67" si="113">SUM(W36:W43)-W44</f>
        <v>0</v>
      </c>
      <c r="X67" s="276">
        <f t="shared" si="113"/>
        <v>0</v>
      </c>
      <c r="Y67" s="276">
        <f t="shared" ref="Y67" si="114">SUM(Y36:Y43)-Y44</f>
        <v>0</v>
      </c>
      <c r="Z67" s="276">
        <f t="shared" si="113"/>
        <v>0</v>
      </c>
      <c r="AA67" s="276">
        <f t="shared" si="113"/>
        <v>0</v>
      </c>
      <c r="AB67" s="276">
        <f t="shared" si="113"/>
        <v>0</v>
      </c>
      <c r="AC67" s="276">
        <f t="shared" si="113"/>
        <v>0</v>
      </c>
      <c r="AE67" s="276">
        <f t="shared" ref="AE67:AK67" si="115">SUM(AE36:AE43)-AE44</f>
        <v>0</v>
      </c>
      <c r="AF67" s="276">
        <f t="shared" si="115"/>
        <v>0</v>
      </c>
      <c r="AG67" s="276">
        <f t="shared" si="115"/>
        <v>0</v>
      </c>
      <c r="AH67" s="276">
        <f t="shared" si="115"/>
        <v>0</v>
      </c>
      <c r="AI67" s="276">
        <f t="shared" si="115"/>
        <v>0</v>
      </c>
      <c r="AJ67" s="276">
        <f t="shared" si="115"/>
        <v>0</v>
      </c>
      <c r="AK67" s="276">
        <f t="shared" si="115"/>
        <v>0</v>
      </c>
      <c r="AM67" s="276">
        <f t="shared" ref="AM67:AS67" si="116">SUM(AM36:AM43)-AM44</f>
        <v>0</v>
      </c>
      <c r="AN67" s="276">
        <f t="shared" si="116"/>
        <v>0</v>
      </c>
      <c r="AO67" s="276">
        <f t="shared" si="116"/>
        <v>0</v>
      </c>
      <c r="AP67" s="276">
        <f t="shared" si="116"/>
        <v>0</v>
      </c>
      <c r="AQ67" s="276">
        <f t="shared" si="116"/>
        <v>0</v>
      </c>
      <c r="AR67" s="276">
        <f t="shared" si="116"/>
        <v>0</v>
      </c>
      <c r="AS67" s="276">
        <f t="shared" si="116"/>
        <v>0</v>
      </c>
      <c r="AU67" s="276">
        <f t="shared" ref="AU67:BA67" si="117">SUM(AU36:AU43)-AU44</f>
        <v>0</v>
      </c>
      <c r="AV67" s="276">
        <f t="shared" si="117"/>
        <v>0</v>
      </c>
      <c r="AW67" s="276">
        <f t="shared" si="117"/>
        <v>0</v>
      </c>
      <c r="AX67" s="276">
        <f t="shared" si="117"/>
        <v>0</v>
      </c>
      <c r="AY67" s="276">
        <f t="shared" si="117"/>
        <v>0</v>
      </c>
      <c r="AZ67" s="276">
        <f t="shared" si="117"/>
        <v>0</v>
      </c>
      <c r="BA67" s="276">
        <f t="shared" si="117"/>
        <v>0</v>
      </c>
      <c r="BC67" s="276">
        <f t="shared" ref="BC67:BI67" si="118">SUM(BC36:BC43)-BC44</f>
        <v>0</v>
      </c>
      <c r="BD67" s="276">
        <f t="shared" si="118"/>
        <v>0</v>
      </c>
      <c r="BE67" s="276">
        <f t="shared" si="118"/>
        <v>0</v>
      </c>
      <c r="BF67" s="276">
        <f t="shared" si="118"/>
        <v>0</v>
      </c>
      <c r="BG67" s="276">
        <f t="shared" si="118"/>
        <v>0</v>
      </c>
      <c r="BH67" s="276">
        <f t="shared" si="118"/>
        <v>0</v>
      </c>
      <c r="BI67" s="276">
        <f t="shared" si="118"/>
        <v>0</v>
      </c>
      <c r="BK67" s="276">
        <f t="shared" ref="BK67:BQ67" si="119">SUM(BK36:BK43)-BK44</f>
        <v>0</v>
      </c>
      <c r="BL67" s="276">
        <f t="shared" si="119"/>
        <v>0</v>
      </c>
      <c r="BM67" s="276">
        <f t="shared" si="119"/>
        <v>0</v>
      </c>
      <c r="BN67" s="276">
        <f t="shared" si="119"/>
        <v>0</v>
      </c>
      <c r="BO67" s="276">
        <f t="shared" si="119"/>
        <v>0</v>
      </c>
      <c r="BP67" s="276">
        <f t="shared" si="119"/>
        <v>0</v>
      </c>
      <c r="BQ67" s="276">
        <f t="shared" si="119"/>
        <v>0</v>
      </c>
      <c r="BS67" s="276">
        <f t="shared" ref="BS67:BY67" si="120">SUM(BS36:BS43)-BS44</f>
        <v>0</v>
      </c>
      <c r="BT67" s="276">
        <f t="shared" si="120"/>
        <v>0</v>
      </c>
      <c r="BU67" s="276">
        <f t="shared" si="120"/>
        <v>0</v>
      </c>
      <c r="BV67" s="276">
        <f t="shared" si="120"/>
        <v>0</v>
      </c>
      <c r="BW67" s="276">
        <f t="shared" si="120"/>
        <v>0</v>
      </c>
      <c r="BX67" s="276">
        <f t="shared" si="120"/>
        <v>0</v>
      </c>
      <c r="BY67" s="276">
        <f t="shared" si="120"/>
        <v>0</v>
      </c>
      <c r="CA67" s="276">
        <f t="shared" ref="CA67:CG67" si="121">SUM(CA36:CA43)-CA44</f>
        <v>0</v>
      </c>
      <c r="CB67" s="276">
        <f t="shared" si="121"/>
        <v>0</v>
      </c>
      <c r="CC67" s="276">
        <f t="shared" si="121"/>
        <v>0</v>
      </c>
      <c r="CD67" s="276">
        <f t="shared" si="121"/>
        <v>0</v>
      </c>
      <c r="CE67" s="276">
        <f t="shared" si="121"/>
        <v>0</v>
      </c>
      <c r="CF67" s="276">
        <f t="shared" si="121"/>
        <v>0</v>
      </c>
      <c r="CG67" s="276">
        <f t="shared" si="121"/>
        <v>0</v>
      </c>
      <c r="CI67" s="276">
        <f t="shared" ref="CI67:CO67" si="122">SUM(CI36:CI43)-CI44</f>
        <v>0</v>
      </c>
      <c r="CJ67" s="276">
        <f t="shared" si="122"/>
        <v>0</v>
      </c>
      <c r="CK67" s="276">
        <f t="shared" si="122"/>
        <v>0</v>
      </c>
      <c r="CL67" s="276">
        <f t="shared" si="122"/>
        <v>0</v>
      </c>
      <c r="CM67" s="276">
        <f t="shared" si="122"/>
        <v>0</v>
      </c>
      <c r="CN67" s="276">
        <f t="shared" si="122"/>
        <v>0</v>
      </c>
      <c r="CO67" s="276">
        <f t="shared" si="122"/>
        <v>0</v>
      </c>
      <c r="CQ67" s="276">
        <f t="shared" ref="CQ67:CW67" si="123">SUM(CQ36:CQ43)-CQ44</f>
        <v>0</v>
      </c>
      <c r="CR67" s="276">
        <f t="shared" si="123"/>
        <v>0</v>
      </c>
      <c r="CS67" s="276">
        <f t="shared" si="123"/>
        <v>0</v>
      </c>
      <c r="CT67" s="276">
        <f t="shared" si="123"/>
        <v>0</v>
      </c>
      <c r="CU67" s="276">
        <f t="shared" si="123"/>
        <v>0</v>
      </c>
      <c r="CV67" s="276">
        <f t="shared" si="123"/>
        <v>0</v>
      </c>
      <c r="CW67" s="276">
        <f t="shared" si="123"/>
        <v>0</v>
      </c>
      <c r="CY67" s="276">
        <f t="shared" ref="CY67:DE67" si="124">SUM(CY36:CY43)-CY44</f>
        <v>0</v>
      </c>
      <c r="CZ67" s="276">
        <f t="shared" si="124"/>
        <v>0</v>
      </c>
      <c r="DA67" s="276">
        <f t="shared" si="124"/>
        <v>0</v>
      </c>
      <c r="DB67" s="276">
        <f t="shared" si="124"/>
        <v>0</v>
      </c>
      <c r="DC67" s="276">
        <f t="shared" si="124"/>
        <v>0</v>
      </c>
      <c r="DD67" s="276">
        <f t="shared" si="124"/>
        <v>0</v>
      </c>
      <c r="DE67" s="276">
        <f t="shared" si="124"/>
        <v>0</v>
      </c>
      <c r="DG67" s="276">
        <f t="shared" ref="DG67:DM67" si="125">SUM(DG36:DG43)-DG44</f>
        <v>0</v>
      </c>
      <c r="DH67" s="276">
        <f t="shared" si="125"/>
        <v>0</v>
      </c>
      <c r="DI67" s="276">
        <f t="shared" si="125"/>
        <v>0</v>
      </c>
      <c r="DJ67" s="276">
        <f t="shared" si="125"/>
        <v>0</v>
      </c>
      <c r="DK67" s="276">
        <f t="shared" si="125"/>
        <v>0</v>
      </c>
      <c r="DL67" s="276">
        <f t="shared" si="125"/>
        <v>0</v>
      </c>
      <c r="DM67" s="276">
        <f t="shared" si="125"/>
        <v>0</v>
      </c>
    </row>
    <row r="68" spans="1:117" outlineLevel="1" x14ac:dyDescent="0.25">
      <c r="B68" s="277" t="s">
        <v>39</v>
      </c>
      <c r="E68" s="276">
        <f t="shared" ref="E68" si="126">SUM(E49:E50)-E51</f>
        <v>0</v>
      </c>
      <c r="G68" s="276">
        <f t="shared" ref="G68:M68" si="127">SUM(G49:G50)-G51</f>
        <v>0</v>
      </c>
      <c r="H68" s="276">
        <f t="shared" si="127"/>
        <v>0</v>
      </c>
      <c r="I68" s="276">
        <f t="shared" si="127"/>
        <v>0</v>
      </c>
      <c r="J68" s="276">
        <f t="shared" si="127"/>
        <v>0</v>
      </c>
      <c r="K68" s="276">
        <f t="shared" si="127"/>
        <v>0</v>
      </c>
      <c r="L68" s="276">
        <f t="shared" si="127"/>
        <v>0</v>
      </c>
      <c r="M68" s="276">
        <f t="shared" si="127"/>
        <v>0</v>
      </c>
      <c r="O68" s="276">
        <f t="shared" ref="O68:U68" si="128">SUM(O49:O50)-O51</f>
        <v>0</v>
      </c>
      <c r="P68" s="276">
        <f t="shared" si="128"/>
        <v>0</v>
      </c>
      <c r="Q68" s="276">
        <f t="shared" si="128"/>
        <v>0</v>
      </c>
      <c r="R68" s="276">
        <f t="shared" si="128"/>
        <v>0</v>
      </c>
      <c r="S68" s="276">
        <f t="shared" si="128"/>
        <v>0</v>
      </c>
      <c r="T68" s="276">
        <f t="shared" si="128"/>
        <v>0</v>
      </c>
      <c r="U68" s="276">
        <f t="shared" si="128"/>
        <v>0</v>
      </c>
      <c r="W68" s="276">
        <f t="shared" ref="W68:AC68" si="129">SUM(W49:W50)-W51</f>
        <v>0</v>
      </c>
      <c r="X68" s="276">
        <f t="shared" si="129"/>
        <v>0</v>
      </c>
      <c r="Y68" s="276">
        <f t="shared" ref="Y68" si="130">SUM(Y49:Y50)-Y51</f>
        <v>0</v>
      </c>
      <c r="Z68" s="276">
        <f t="shared" si="129"/>
        <v>0</v>
      </c>
      <c r="AA68" s="276">
        <f t="shared" si="129"/>
        <v>0</v>
      </c>
      <c r="AB68" s="276">
        <f t="shared" si="129"/>
        <v>0</v>
      </c>
      <c r="AC68" s="276">
        <f t="shared" si="129"/>
        <v>0</v>
      </c>
      <c r="AE68" s="276">
        <f t="shared" ref="AE68:AG68" si="131">SUM(AE49:AE50)-AE51</f>
        <v>0</v>
      </c>
      <c r="AF68" s="276">
        <f t="shared" si="131"/>
        <v>0</v>
      </c>
      <c r="AG68" s="276">
        <f t="shared" si="131"/>
        <v>0</v>
      </c>
      <c r="AH68" s="276">
        <f t="shared" ref="AH68:AI68" si="132">SUM(AH49:AH50)-AH51</f>
        <v>0</v>
      </c>
      <c r="AI68" s="276">
        <f t="shared" si="132"/>
        <v>0</v>
      </c>
      <c r="AJ68" s="276">
        <f t="shared" ref="AJ68:AK68" si="133">SUM(AJ49:AJ50)-AJ51</f>
        <v>0</v>
      </c>
      <c r="AK68" s="276">
        <f t="shared" si="133"/>
        <v>0</v>
      </c>
      <c r="AM68" s="276">
        <f t="shared" ref="AM68:AS68" si="134">SUM(AM49:AM50)-AM51</f>
        <v>0</v>
      </c>
      <c r="AN68" s="276">
        <f t="shared" si="134"/>
        <v>0</v>
      </c>
      <c r="AO68" s="276">
        <f t="shared" si="134"/>
        <v>0</v>
      </c>
      <c r="AP68" s="276">
        <f t="shared" si="134"/>
        <v>0</v>
      </c>
      <c r="AQ68" s="276">
        <f t="shared" si="134"/>
        <v>0</v>
      </c>
      <c r="AR68" s="276">
        <f t="shared" si="134"/>
        <v>0</v>
      </c>
      <c r="AS68" s="276">
        <f t="shared" si="134"/>
        <v>0</v>
      </c>
      <c r="AU68" s="276">
        <f t="shared" ref="AU68:BA68" si="135">SUM(AU49:AU50)-AU51</f>
        <v>0</v>
      </c>
      <c r="AV68" s="276">
        <f t="shared" si="135"/>
        <v>0</v>
      </c>
      <c r="AW68" s="276">
        <f t="shared" si="135"/>
        <v>0</v>
      </c>
      <c r="AX68" s="276">
        <f t="shared" si="135"/>
        <v>0</v>
      </c>
      <c r="AY68" s="276">
        <f t="shared" si="135"/>
        <v>0</v>
      </c>
      <c r="AZ68" s="276">
        <f t="shared" si="135"/>
        <v>0</v>
      </c>
      <c r="BA68" s="276">
        <f t="shared" si="135"/>
        <v>0</v>
      </c>
      <c r="BC68" s="276">
        <f t="shared" ref="BC68:BI68" si="136">SUM(BC49:BC50)-BC51</f>
        <v>0</v>
      </c>
      <c r="BD68" s="276">
        <f t="shared" si="136"/>
        <v>0</v>
      </c>
      <c r="BE68" s="276">
        <f t="shared" si="136"/>
        <v>0</v>
      </c>
      <c r="BF68" s="276">
        <f t="shared" si="136"/>
        <v>0</v>
      </c>
      <c r="BG68" s="276">
        <f t="shared" si="136"/>
        <v>0</v>
      </c>
      <c r="BH68" s="276">
        <f t="shared" si="136"/>
        <v>0</v>
      </c>
      <c r="BI68" s="276">
        <f t="shared" si="136"/>
        <v>0</v>
      </c>
      <c r="BK68" s="276">
        <f t="shared" ref="BK68:BQ68" si="137">SUM(BK49:BK50)-BK51</f>
        <v>0</v>
      </c>
      <c r="BL68" s="276">
        <f t="shared" si="137"/>
        <v>0</v>
      </c>
      <c r="BM68" s="276">
        <f t="shared" si="137"/>
        <v>0</v>
      </c>
      <c r="BN68" s="276">
        <f t="shared" si="137"/>
        <v>0</v>
      </c>
      <c r="BO68" s="276">
        <f t="shared" si="137"/>
        <v>0</v>
      </c>
      <c r="BP68" s="276">
        <f t="shared" si="137"/>
        <v>0</v>
      </c>
      <c r="BQ68" s="276">
        <f t="shared" si="137"/>
        <v>0</v>
      </c>
      <c r="BS68" s="276">
        <f t="shared" ref="BS68:BY68" si="138">SUM(BS49:BS50)-BS51</f>
        <v>0</v>
      </c>
      <c r="BT68" s="276">
        <f t="shared" si="138"/>
        <v>0</v>
      </c>
      <c r="BU68" s="276">
        <f t="shared" si="138"/>
        <v>0</v>
      </c>
      <c r="BV68" s="276">
        <f t="shared" si="138"/>
        <v>0</v>
      </c>
      <c r="BW68" s="276">
        <f t="shared" si="138"/>
        <v>0</v>
      </c>
      <c r="BX68" s="276">
        <f t="shared" si="138"/>
        <v>0</v>
      </c>
      <c r="BY68" s="276">
        <f t="shared" si="138"/>
        <v>0</v>
      </c>
      <c r="CA68" s="276">
        <f t="shared" ref="CA68:CG68" si="139">SUM(CA49:CA50)-CA51</f>
        <v>0</v>
      </c>
      <c r="CB68" s="276">
        <f t="shared" si="139"/>
        <v>0</v>
      </c>
      <c r="CC68" s="276">
        <f t="shared" si="139"/>
        <v>0</v>
      </c>
      <c r="CD68" s="276">
        <f t="shared" si="139"/>
        <v>0</v>
      </c>
      <c r="CE68" s="276">
        <f t="shared" si="139"/>
        <v>0</v>
      </c>
      <c r="CF68" s="276">
        <f t="shared" si="139"/>
        <v>0</v>
      </c>
      <c r="CG68" s="276">
        <f t="shared" si="139"/>
        <v>0</v>
      </c>
      <c r="CI68" s="276">
        <f t="shared" ref="CI68:CO68" si="140">SUM(CI49:CI50)-CI51</f>
        <v>0</v>
      </c>
      <c r="CJ68" s="276">
        <f t="shared" si="140"/>
        <v>0</v>
      </c>
      <c r="CK68" s="276">
        <f t="shared" si="140"/>
        <v>0</v>
      </c>
      <c r="CL68" s="276">
        <f t="shared" si="140"/>
        <v>0</v>
      </c>
      <c r="CM68" s="276">
        <f t="shared" si="140"/>
        <v>0</v>
      </c>
      <c r="CN68" s="276">
        <f t="shared" si="140"/>
        <v>0</v>
      </c>
      <c r="CO68" s="276">
        <f t="shared" si="140"/>
        <v>0</v>
      </c>
      <c r="CQ68" s="276">
        <f t="shared" ref="CQ68:CW68" si="141">SUM(CQ49:CQ50)-CQ51</f>
        <v>0</v>
      </c>
      <c r="CR68" s="276">
        <f t="shared" si="141"/>
        <v>0</v>
      </c>
      <c r="CS68" s="276">
        <f t="shared" si="141"/>
        <v>0</v>
      </c>
      <c r="CT68" s="276">
        <f t="shared" si="141"/>
        <v>0</v>
      </c>
      <c r="CU68" s="276">
        <f t="shared" si="141"/>
        <v>0</v>
      </c>
      <c r="CV68" s="276">
        <f t="shared" si="141"/>
        <v>0</v>
      </c>
      <c r="CW68" s="276">
        <f t="shared" si="141"/>
        <v>0</v>
      </c>
      <c r="CY68" s="276">
        <f t="shared" ref="CY68:DE68" si="142">SUM(CY49:CY50)-CY51</f>
        <v>0</v>
      </c>
      <c r="CZ68" s="276">
        <f t="shared" si="142"/>
        <v>0</v>
      </c>
      <c r="DA68" s="276">
        <f t="shared" si="142"/>
        <v>0</v>
      </c>
      <c r="DB68" s="276">
        <f t="shared" si="142"/>
        <v>0</v>
      </c>
      <c r="DC68" s="276">
        <f t="shared" si="142"/>
        <v>0</v>
      </c>
      <c r="DD68" s="276">
        <f t="shared" si="142"/>
        <v>0</v>
      </c>
      <c r="DE68" s="276">
        <f t="shared" si="142"/>
        <v>0</v>
      </c>
      <c r="DG68" s="276">
        <f t="shared" ref="DG68:DM68" si="143">SUM(DG49:DG50)-DG51</f>
        <v>0</v>
      </c>
      <c r="DH68" s="276">
        <f t="shared" si="143"/>
        <v>0</v>
      </c>
      <c r="DI68" s="276">
        <f t="shared" si="143"/>
        <v>0</v>
      </c>
      <c r="DJ68" s="276">
        <f t="shared" si="143"/>
        <v>0</v>
      </c>
      <c r="DK68" s="276">
        <f t="shared" si="143"/>
        <v>0</v>
      </c>
      <c r="DL68" s="276">
        <f t="shared" si="143"/>
        <v>0</v>
      </c>
      <c r="DM68" s="276">
        <f t="shared" si="143"/>
        <v>0</v>
      </c>
    </row>
    <row r="69" spans="1:117" outlineLevel="1" x14ac:dyDescent="0.25">
      <c r="B69" s="277" t="s">
        <v>40</v>
      </c>
      <c r="E69" s="276">
        <f>E47-E51-E53</f>
        <v>-1.6999999934341758E-4</v>
      </c>
      <c r="G69" s="276">
        <f>G47-G51-G53</f>
        <v>-1.6999997023958713E-4</v>
      </c>
      <c r="H69" s="276">
        <f t="shared" ref="H69:M69" si="144">H47-H51-H53</f>
        <v>0</v>
      </c>
      <c r="I69" s="276">
        <f t="shared" si="144"/>
        <v>-1.6999998479150236E-4</v>
      </c>
      <c r="J69" s="276">
        <f t="shared" si="144"/>
        <v>0</v>
      </c>
      <c r="K69" s="276">
        <f t="shared" si="144"/>
        <v>-1.6999999206745997E-4</v>
      </c>
      <c r="L69" s="276">
        <f t="shared" si="144"/>
        <v>0</v>
      </c>
      <c r="M69" s="276">
        <f t="shared" si="144"/>
        <v>-1.6999997023958713E-4</v>
      </c>
      <c r="O69" s="276">
        <f>O47-O51-O53</f>
        <v>0</v>
      </c>
      <c r="P69" s="276">
        <f t="shared" ref="P69:U69" si="145">P47-P51-P53</f>
        <v>0</v>
      </c>
      <c r="Q69" s="276">
        <f t="shared" si="145"/>
        <v>0</v>
      </c>
      <c r="R69" s="276">
        <f t="shared" si="145"/>
        <v>0</v>
      </c>
      <c r="S69" s="276">
        <f t="shared" si="145"/>
        <v>0</v>
      </c>
      <c r="T69" s="276">
        <f t="shared" si="145"/>
        <v>0</v>
      </c>
      <c r="U69" s="276">
        <f t="shared" si="145"/>
        <v>0</v>
      </c>
      <c r="W69" s="276">
        <f t="shared" ref="W69:AC69" si="146">W47-W51-W53</f>
        <v>0</v>
      </c>
      <c r="X69" s="276">
        <f t="shared" si="146"/>
        <v>0</v>
      </c>
      <c r="Y69" s="276">
        <f t="shared" si="146"/>
        <v>0</v>
      </c>
      <c r="Z69" s="276">
        <f t="shared" si="146"/>
        <v>0</v>
      </c>
      <c r="AA69" s="276">
        <f t="shared" si="146"/>
        <v>9.9700000137090683E-3</v>
      </c>
      <c r="AB69" s="276">
        <f t="shared" si="146"/>
        <v>0</v>
      </c>
      <c r="AC69" s="276">
        <f t="shared" si="146"/>
        <v>-2.9999995604157448E-5</v>
      </c>
      <c r="AE69" s="276">
        <f t="shared" ref="AE69:AG69" si="147">AE47-AE51-AE53</f>
        <v>0</v>
      </c>
      <c r="AF69" s="276">
        <f t="shared" si="147"/>
        <v>0</v>
      </c>
      <c r="AG69" s="276">
        <f t="shared" si="147"/>
        <v>0</v>
      </c>
      <c r="AH69" s="276">
        <f t="shared" ref="AH69:AI69" si="148">AH47-AH51-AH53</f>
        <v>0</v>
      </c>
      <c r="AI69" s="276">
        <f t="shared" si="148"/>
        <v>0</v>
      </c>
      <c r="AJ69" s="276">
        <f t="shared" ref="AJ69:AK69" si="149">AJ47-AJ51-AJ53</f>
        <v>0</v>
      </c>
      <c r="AK69" s="276">
        <f t="shared" si="149"/>
        <v>0</v>
      </c>
      <c r="AM69" s="276">
        <f t="shared" ref="AM69:AS69" si="150">AM47-AM51-AM53</f>
        <v>0</v>
      </c>
      <c r="AN69" s="276">
        <f t="shared" si="150"/>
        <v>0</v>
      </c>
      <c r="AO69" s="276">
        <f t="shared" si="150"/>
        <v>0</v>
      </c>
      <c r="AP69" s="276">
        <f t="shared" si="150"/>
        <v>0</v>
      </c>
      <c r="AQ69" s="276">
        <f t="shared" si="150"/>
        <v>0</v>
      </c>
      <c r="AR69" s="276">
        <f t="shared" si="150"/>
        <v>0</v>
      </c>
      <c r="AS69" s="276">
        <f t="shared" si="150"/>
        <v>0</v>
      </c>
      <c r="AU69" s="276">
        <f t="shared" ref="AU69:BA69" si="151">AU47-AU51-AU53</f>
        <v>0</v>
      </c>
      <c r="AV69" s="276">
        <f t="shared" si="151"/>
        <v>0</v>
      </c>
      <c r="AW69" s="276">
        <f t="shared" si="151"/>
        <v>0</v>
      </c>
      <c r="AX69" s="276">
        <f t="shared" si="151"/>
        <v>0</v>
      </c>
      <c r="AY69" s="276">
        <f t="shared" si="151"/>
        <v>0</v>
      </c>
      <c r="AZ69" s="276">
        <f t="shared" si="151"/>
        <v>0</v>
      </c>
      <c r="BA69" s="276">
        <f t="shared" si="151"/>
        <v>0</v>
      </c>
      <c r="BC69" s="276">
        <f t="shared" ref="BC69:BI69" si="152">BC47-BC51-BC53</f>
        <v>0</v>
      </c>
      <c r="BD69" s="276">
        <f t="shared" si="152"/>
        <v>0</v>
      </c>
      <c r="BE69" s="276">
        <f t="shared" si="152"/>
        <v>0</v>
      </c>
      <c r="BF69" s="276">
        <f t="shared" si="152"/>
        <v>0</v>
      </c>
      <c r="BG69" s="276">
        <f t="shared" si="152"/>
        <v>0</v>
      </c>
      <c r="BH69" s="276">
        <f t="shared" si="152"/>
        <v>0</v>
      </c>
      <c r="BI69" s="276">
        <f t="shared" si="152"/>
        <v>0</v>
      </c>
      <c r="BK69" s="276">
        <f t="shared" ref="BK69:BQ69" si="153">BK47-BK51-BK53</f>
        <v>0</v>
      </c>
      <c r="BL69" s="276">
        <f t="shared" si="153"/>
        <v>0</v>
      </c>
      <c r="BM69" s="276">
        <f t="shared" si="153"/>
        <v>0</v>
      </c>
      <c r="BN69" s="276">
        <f t="shared" si="153"/>
        <v>0</v>
      </c>
      <c r="BO69" s="276">
        <f t="shared" si="153"/>
        <v>0</v>
      </c>
      <c r="BP69" s="276">
        <f t="shared" si="153"/>
        <v>0</v>
      </c>
      <c r="BQ69" s="276">
        <f t="shared" si="153"/>
        <v>0</v>
      </c>
      <c r="BS69" s="276">
        <f t="shared" ref="BS69:BY69" si="154">BS47-BS51-BS53</f>
        <v>0</v>
      </c>
      <c r="BT69" s="276">
        <f t="shared" si="154"/>
        <v>0</v>
      </c>
      <c r="BU69" s="276">
        <f t="shared" si="154"/>
        <v>0</v>
      </c>
      <c r="BV69" s="276">
        <f t="shared" si="154"/>
        <v>0</v>
      </c>
      <c r="BW69" s="276">
        <f t="shared" si="154"/>
        <v>0</v>
      </c>
      <c r="BX69" s="276">
        <f t="shared" si="154"/>
        <v>0</v>
      </c>
      <c r="BY69" s="276">
        <f t="shared" si="154"/>
        <v>0</v>
      </c>
      <c r="CA69" s="276">
        <f t="shared" ref="CA69:CG69" si="155">CA47-CA51-CA53</f>
        <v>0</v>
      </c>
      <c r="CB69" s="276">
        <f t="shared" si="155"/>
        <v>0</v>
      </c>
      <c r="CC69" s="276">
        <f t="shared" si="155"/>
        <v>0</v>
      </c>
      <c r="CD69" s="276">
        <f t="shared" si="155"/>
        <v>0</v>
      </c>
      <c r="CE69" s="276">
        <f t="shared" si="155"/>
        <v>0</v>
      </c>
      <c r="CF69" s="276">
        <f t="shared" si="155"/>
        <v>0</v>
      </c>
      <c r="CG69" s="276">
        <f t="shared" si="155"/>
        <v>0</v>
      </c>
      <c r="CI69" s="276">
        <f t="shared" ref="CI69:CO69" si="156">CI47-CI51-CI53</f>
        <v>0</v>
      </c>
      <c r="CJ69" s="276">
        <f t="shared" si="156"/>
        <v>0</v>
      </c>
      <c r="CK69" s="276">
        <f t="shared" si="156"/>
        <v>0</v>
      </c>
      <c r="CL69" s="276">
        <f t="shared" si="156"/>
        <v>0</v>
      </c>
      <c r="CM69" s="276">
        <f t="shared" si="156"/>
        <v>0</v>
      </c>
      <c r="CN69" s="276">
        <f t="shared" si="156"/>
        <v>0</v>
      </c>
      <c r="CO69" s="276">
        <f t="shared" si="156"/>
        <v>0</v>
      </c>
      <c r="CQ69" s="276">
        <f t="shared" ref="CQ69:CW69" si="157">CQ47-CQ51-CQ53</f>
        <v>0</v>
      </c>
      <c r="CR69" s="276">
        <f t="shared" si="157"/>
        <v>0</v>
      </c>
      <c r="CS69" s="276">
        <f t="shared" si="157"/>
        <v>0</v>
      </c>
      <c r="CT69" s="276">
        <f t="shared" si="157"/>
        <v>0</v>
      </c>
      <c r="CU69" s="276">
        <f t="shared" si="157"/>
        <v>0</v>
      </c>
      <c r="CV69" s="276">
        <f t="shared" si="157"/>
        <v>0</v>
      </c>
      <c r="CW69" s="276">
        <f t="shared" si="157"/>
        <v>0</v>
      </c>
      <c r="CY69" s="276">
        <f t="shared" ref="CY69:DE69" si="158">CY47-CY51-CY53</f>
        <v>0</v>
      </c>
      <c r="CZ69" s="276">
        <f t="shared" si="158"/>
        <v>0</v>
      </c>
      <c r="DA69" s="276">
        <f t="shared" si="158"/>
        <v>0</v>
      </c>
      <c r="DB69" s="276">
        <f t="shared" si="158"/>
        <v>0</v>
      </c>
      <c r="DC69" s="276">
        <f t="shared" si="158"/>
        <v>0</v>
      </c>
      <c r="DD69" s="276">
        <f t="shared" si="158"/>
        <v>0</v>
      </c>
      <c r="DE69" s="276">
        <f t="shared" si="158"/>
        <v>0</v>
      </c>
      <c r="DG69" s="276">
        <f t="shared" ref="DG69:DM69" si="159">DG47-DG51-DG53</f>
        <v>0</v>
      </c>
      <c r="DH69" s="276">
        <f t="shared" si="159"/>
        <v>0</v>
      </c>
      <c r="DI69" s="276">
        <f t="shared" si="159"/>
        <v>0</v>
      </c>
      <c r="DJ69" s="276">
        <f t="shared" si="159"/>
        <v>0</v>
      </c>
      <c r="DK69" s="276">
        <f t="shared" si="159"/>
        <v>0</v>
      </c>
      <c r="DL69" s="276">
        <f t="shared" si="159"/>
        <v>0</v>
      </c>
      <c r="DM69" s="276">
        <f t="shared" si="159"/>
        <v>0</v>
      </c>
    </row>
    <row r="70" spans="1:117" x14ac:dyDescent="0.25">
      <c r="A70" s="95" t="s">
        <v>230</v>
      </c>
    </row>
    <row r="71" spans="1:117" x14ac:dyDescent="0.25">
      <c r="A71" s="95" t="s">
        <v>229</v>
      </c>
    </row>
    <row r="72" spans="1:117" x14ac:dyDescent="0.25">
      <c r="A72" s="95" t="s">
        <v>227</v>
      </c>
    </row>
    <row r="73" spans="1:117" x14ac:dyDescent="0.25">
      <c r="A73" s="95" t="s">
        <v>228</v>
      </c>
    </row>
  </sheetData>
  <mergeCells count="14">
    <mergeCell ref="BC14:BI14"/>
    <mergeCell ref="BK14:BQ14"/>
    <mergeCell ref="BS14:BY14"/>
    <mergeCell ref="AM14:AS14"/>
    <mergeCell ref="DG14:DM14"/>
    <mergeCell ref="CA14:CG14"/>
    <mergeCell ref="CI14:CO14"/>
    <mergeCell ref="CQ14:CW14"/>
    <mergeCell ref="CY14:DE14"/>
    <mergeCell ref="G14:M14"/>
    <mergeCell ref="O14:U14"/>
    <mergeCell ref="W14:AC14"/>
    <mergeCell ref="AE14:AK14"/>
    <mergeCell ref="AU14:BA14"/>
  </mergeCells>
  <pageMargins left="0.7" right="0.7" top="0.75" bottom="0.75" header="0.3" footer="0.3"/>
  <pageSetup scale="28" orientation="portrait" r:id="rId1"/>
  <headerFooter alignWithMargins="0"/>
  <customProperties>
    <customPr name="SheetOptions"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W73"/>
  <sheetViews>
    <sheetView showGridLines="0" topLeftCell="B1" zoomScaleNormal="100" workbookViewId="0">
      <selection activeCell="B1" sqref="B1"/>
    </sheetView>
  </sheetViews>
  <sheetFormatPr defaultColWidth="9.140625" defaultRowHeight="15" outlineLevelRow="1" outlineLevelCol="1" x14ac:dyDescent="0.25"/>
  <cols>
    <col min="1" max="1" width="0" style="4" hidden="1" customWidth="1" outlineLevel="1"/>
    <col min="2" max="2" width="44.5703125" style="4" customWidth="1" collapsed="1"/>
    <col min="3" max="14" width="9" style="4" customWidth="1"/>
    <col min="15" max="15" width="9.28515625" style="4" bestFit="1" customWidth="1"/>
    <col min="16" max="16" width="8.5703125" style="4" customWidth="1"/>
    <col min="17" max="17" width="8.85546875" style="4" customWidth="1"/>
    <col min="18" max="18" width="9" style="4" customWidth="1"/>
    <col min="19" max="19" width="8.85546875" style="4" customWidth="1"/>
    <col min="20" max="20" width="9.5703125" style="4" customWidth="1"/>
    <col min="21" max="21" width="8.85546875" style="4" customWidth="1"/>
    <col min="22" max="22" width="1.5703125" style="4" customWidth="1"/>
    <col min="23" max="23" width="9.28515625" style="4" bestFit="1" customWidth="1"/>
    <col min="24" max="24" width="8.5703125" style="4" customWidth="1"/>
    <col min="25" max="25" width="8.85546875" style="4" bestFit="1" customWidth="1"/>
    <col min="26" max="26" width="8.5703125" style="4" customWidth="1"/>
    <col min="27" max="27" width="8.85546875" style="4" bestFit="1" customWidth="1"/>
    <col min="28" max="28" width="9.5703125" style="4" bestFit="1" customWidth="1"/>
    <col min="29" max="29" width="8.85546875" style="4" bestFit="1" customWidth="1"/>
    <col min="30" max="30" width="1.5703125" style="4" customWidth="1"/>
    <col min="31" max="36" width="10.7109375" style="4" customWidth="1"/>
    <col min="37" max="37" width="10.42578125" style="4" customWidth="1"/>
    <col min="38" max="38" width="3.28515625" style="4" customWidth="1"/>
    <col min="39" max="39" width="10.7109375" style="4" customWidth="1"/>
    <col min="40" max="45" width="11" style="4" customWidth="1"/>
    <col min="46" max="46" width="3.28515625" style="4" customWidth="1"/>
    <col min="47" max="49" width="8.7109375" style="4" customWidth="1"/>
    <col min="50" max="50" width="9.5703125" style="4" bestFit="1" customWidth="1"/>
    <col min="51" max="51" width="8.7109375" style="4" customWidth="1"/>
    <col min="52" max="52" width="9.5703125" style="4" bestFit="1" customWidth="1"/>
    <col min="53" max="53" width="8.7109375" style="4" customWidth="1"/>
    <col min="54" max="54" width="3.140625" style="4" customWidth="1"/>
    <col min="55" max="57" width="9" style="4" customWidth="1"/>
    <col min="58" max="58" width="9.5703125" style="4" bestFit="1" customWidth="1"/>
    <col min="59" max="59" width="9" style="4" customWidth="1"/>
    <col min="60" max="60" width="9.5703125" style="4" bestFit="1" customWidth="1"/>
    <col min="61" max="61" width="9" style="4" customWidth="1"/>
    <col min="62" max="62" width="2.7109375" style="4" customWidth="1"/>
    <col min="63" max="67" width="9" style="4" customWidth="1"/>
    <col min="68" max="68" width="9.5703125" style="4" bestFit="1" customWidth="1"/>
    <col min="69" max="69" width="9" style="4" customWidth="1"/>
    <col min="70" max="70" width="2.5703125" style="4" customWidth="1"/>
    <col min="71" max="73" width="9" style="4" customWidth="1"/>
    <col min="74" max="74" width="9.5703125" style="4" bestFit="1" customWidth="1"/>
    <col min="75" max="75" width="9" style="4" customWidth="1"/>
    <col min="76" max="76" width="9.5703125" style="4" bestFit="1" customWidth="1"/>
    <col min="77" max="77" width="9" style="4" customWidth="1"/>
    <col min="78" max="78" width="2.5703125" style="4" customWidth="1"/>
    <col min="79" max="80" width="9" style="4" customWidth="1"/>
    <col min="81" max="81" width="9" style="4" hidden="1" customWidth="1" outlineLevel="1"/>
    <col min="82" max="82" width="9.5703125" style="4" customWidth="1" collapsed="1"/>
    <col min="83" max="83" width="9.7109375" style="4" hidden="1" customWidth="1" outlineLevel="1"/>
    <col min="84" max="84" width="9.7109375" style="4" customWidth="1" collapsed="1"/>
    <col min="85" max="85" width="9.7109375" style="4" customWidth="1"/>
    <col min="86" max="86" width="2" style="4" customWidth="1"/>
    <col min="87" max="87" width="9" style="4" customWidth="1"/>
    <col min="88" max="88" width="9.5703125" style="4" customWidth="1"/>
    <col min="89" max="89" width="8" style="4" hidden="1" customWidth="1" outlineLevel="1"/>
    <col min="90" max="90" width="11.5703125" style="4" customWidth="1" collapsed="1"/>
    <col min="91" max="91" width="11.5703125" style="4" hidden="1" customWidth="1" outlineLevel="1"/>
    <col min="92" max="92" width="12.28515625" style="4" customWidth="1" collapsed="1"/>
    <col min="93" max="93" width="11.5703125" style="4" customWidth="1"/>
    <col min="94" max="94" width="1.7109375" style="4" customWidth="1"/>
    <col min="95" max="96" width="9" style="67" customWidth="1"/>
    <col min="97" max="97" width="8" style="4" hidden="1" customWidth="1" outlineLevel="1"/>
    <col min="98" max="98" width="9" style="4" customWidth="1" collapsed="1"/>
    <col min="99" max="99" width="9" style="4" hidden="1" customWidth="1" outlineLevel="1"/>
    <col min="100" max="100" width="9" style="4" customWidth="1" collapsed="1"/>
    <col min="101" max="101" width="9" style="4" customWidth="1"/>
    <col min="102" max="16384" width="9.140625" style="4"/>
  </cols>
  <sheetData>
    <row r="1" spans="2:101" x14ac:dyDescent="0.25">
      <c r="B1" s="8" t="s">
        <v>87</v>
      </c>
      <c r="C1" s="79">
        <f>314.4-154.4</f>
        <v>159.99999999999997</v>
      </c>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1"/>
      <c r="CI1" s="247"/>
      <c r="CJ1" s="1"/>
      <c r="CK1" s="1"/>
      <c r="CL1" s="1"/>
      <c r="CM1" s="1"/>
      <c r="CN1" s="1"/>
      <c r="CO1" s="1"/>
      <c r="CP1" s="1"/>
      <c r="CQ1" s="2"/>
      <c r="CR1" s="2"/>
      <c r="CS1" s="1"/>
      <c r="CT1" s="1"/>
      <c r="CU1" s="1"/>
      <c r="CV1" s="1"/>
      <c r="CW1" s="1"/>
    </row>
    <row r="2" spans="2:101" x14ac:dyDescent="0.25">
      <c r="B2" s="5" t="s">
        <v>42</v>
      </c>
      <c r="C2" s="206">
        <v>75</v>
      </c>
      <c r="D2" s="436"/>
      <c r="E2" s="436"/>
      <c r="F2" s="436"/>
      <c r="G2" s="436"/>
      <c r="H2" s="436"/>
      <c r="I2" s="436"/>
      <c r="J2" s="436"/>
      <c r="K2" s="436"/>
      <c r="L2" s="436"/>
      <c r="M2" s="436"/>
      <c r="N2" s="436"/>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218"/>
      <c r="CB2" s="218"/>
      <c r="CC2" s="218"/>
      <c r="CD2" s="218"/>
      <c r="CE2" s="218"/>
      <c r="CF2" s="218"/>
      <c r="CG2" s="218"/>
      <c r="CH2" s="6"/>
      <c r="CI2" s="218"/>
      <c r="CJ2" s="6"/>
      <c r="CK2" s="89"/>
      <c r="CL2" s="75"/>
      <c r="CM2" s="6"/>
      <c r="CN2" s="6"/>
      <c r="CO2" s="6"/>
      <c r="CP2" s="6"/>
      <c r="CQ2" s="6"/>
      <c r="CR2" s="6"/>
      <c r="CS2" s="6"/>
      <c r="CT2" s="6"/>
      <c r="CU2" s="6"/>
      <c r="CV2" s="6"/>
      <c r="CW2" s="6"/>
    </row>
    <row r="3" spans="2:101" ht="15" customHeight="1" x14ac:dyDescent="0.25">
      <c r="B3" s="5" t="s">
        <v>44</v>
      </c>
      <c r="C3" s="206">
        <v>85</v>
      </c>
      <c r="D3" s="436"/>
      <c r="E3" s="436"/>
      <c r="F3" s="436"/>
      <c r="G3" s="436"/>
      <c r="H3" s="436"/>
      <c r="I3" s="436"/>
      <c r="J3" s="436"/>
      <c r="K3" s="436"/>
      <c r="L3" s="436"/>
      <c r="M3" s="436"/>
      <c r="N3" s="436"/>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6"/>
      <c r="CI3" s="218"/>
      <c r="CJ3" s="9"/>
      <c r="CK3" s="6"/>
      <c r="CL3" s="90"/>
      <c r="CM3" s="6"/>
      <c r="CN3" s="6"/>
      <c r="CO3" s="6"/>
      <c r="CP3" s="6"/>
      <c r="CQ3" s="6"/>
      <c r="CR3" s="6"/>
      <c r="CS3" s="6"/>
      <c r="CT3" s="6"/>
      <c r="CU3" s="6"/>
      <c r="CV3" s="6"/>
      <c r="CW3" s="6"/>
    </row>
    <row r="4" spans="2:101" s="14" customFormat="1" ht="15" customHeight="1" x14ac:dyDescent="0.25">
      <c r="B4" s="5"/>
      <c r="C4" s="206"/>
      <c r="D4" s="436"/>
      <c r="E4" s="436"/>
      <c r="F4" s="436"/>
      <c r="G4" s="436"/>
      <c r="H4" s="436"/>
      <c r="I4" s="436"/>
      <c r="J4" s="436"/>
      <c r="K4" s="436"/>
      <c r="L4" s="436"/>
      <c r="M4" s="436"/>
      <c r="N4" s="436"/>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c r="CC4" s="218"/>
      <c r="CD4" s="218"/>
      <c r="CE4"/>
      <c r="CF4" s="218"/>
      <c r="CG4"/>
      <c r="CH4" s="12"/>
      <c r="CI4" s="218"/>
      <c r="CJ4" s="11"/>
      <c r="CK4" s="6"/>
      <c r="CL4" s="90"/>
      <c r="CM4" s="10"/>
      <c r="CN4" s="10"/>
      <c r="CO4" s="10"/>
      <c r="CP4" s="12"/>
      <c r="CQ4" s="10"/>
      <c r="CR4" s="10"/>
      <c r="CS4" s="10"/>
      <c r="CT4" s="10"/>
      <c r="CU4" s="356"/>
      <c r="CV4" s="356"/>
      <c r="CW4" s="356"/>
    </row>
    <row r="5" spans="2:101" s="14" customFormat="1" ht="15" customHeight="1" x14ac:dyDescent="0.25">
      <c r="B5" s="5" t="s">
        <v>88</v>
      </c>
      <c r="C5" s="206">
        <v>35.799999999999997</v>
      </c>
      <c r="D5" s="436"/>
      <c r="E5" s="436"/>
      <c r="F5" s="436"/>
      <c r="G5" s="436"/>
      <c r="H5" s="436"/>
      <c r="I5" s="436"/>
      <c r="J5" s="436"/>
      <c r="K5" s="436"/>
      <c r="L5" s="436"/>
      <c r="M5" s="436"/>
      <c r="N5" s="436"/>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12"/>
      <c r="CI5" s="218"/>
      <c r="CJ5" s="11"/>
      <c r="CK5" s="10"/>
      <c r="CL5" s="10"/>
      <c r="CM5" s="10"/>
      <c r="CN5" s="10"/>
      <c r="CO5" s="10"/>
      <c r="CP5" s="12"/>
      <c r="CQ5" s="10"/>
      <c r="CR5" s="10"/>
      <c r="CS5" s="10"/>
      <c r="CT5" s="10"/>
      <c r="CU5" s="356"/>
      <c r="CV5" s="274"/>
      <c r="CW5" s="356"/>
    </row>
    <row r="6" spans="2:101" s="14" customFormat="1" ht="15" customHeight="1" x14ac:dyDescent="0.25">
      <c r="B6" s="42" t="s">
        <v>151</v>
      </c>
      <c r="C6" s="303">
        <v>3.2</v>
      </c>
      <c r="D6" s="354"/>
      <c r="E6" s="354"/>
      <c r="F6" s="354"/>
      <c r="G6" s="354"/>
      <c r="H6" s="354"/>
      <c r="I6" s="354"/>
      <c r="J6" s="354"/>
      <c r="K6" s="354"/>
      <c r="L6" s="354"/>
      <c r="M6" s="354"/>
      <c r="N6" s="354"/>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c r="BX6" s="218"/>
      <c r="BY6" s="218"/>
      <c r="BZ6" s="218"/>
      <c r="CA6" s="218"/>
      <c r="CB6" s="218"/>
      <c r="CC6" s="218"/>
      <c r="CD6" s="218"/>
      <c r="CE6" s="218"/>
      <c r="CF6" s="218"/>
      <c r="CG6" s="218"/>
      <c r="CH6" s="12"/>
      <c r="CI6" s="218"/>
      <c r="CJ6" s="11"/>
      <c r="CK6" s="10"/>
      <c r="CL6" s="10"/>
      <c r="CM6" s="10"/>
      <c r="CN6" s="10"/>
      <c r="CO6" s="10"/>
      <c r="CP6" s="12"/>
      <c r="CQ6" s="10"/>
      <c r="CR6" s="10"/>
      <c r="CS6" s="10"/>
      <c r="CT6" s="10"/>
      <c r="CU6" s="356"/>
      <c r="CV6" s="274"/>
      <c r="CW6" s="356"/>
    </row>
    <row r="7" spans="2:101" s="14" customFormat="1" ht="15" customHeight="1" x14ac:dyDescent="0.25">
      <c r="B7" s="42" t="s">
        <v>238</v>
      </c>
      <c r="C7" s="303">
        <v>-50.8</v>
      </c>
      <c r="D7" s="354"/>
      <c r="E7" s="354"/>
      <c r="F7" s="354"/>
      <c r="G7" s="354"/>
      <c r="H7" s="354"/>
      <c r="I7" s="354"/>
      <c r="J7" s="354"/>
      <c r="K7" s="354"/>
      <c r="L7" s="354"/>
      <c r="M7" s="354"/>
      <c r="N7" s="354"/>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c r="CC7" s="218"/>
      <c r="CD7" s="218"/>
      <c r="CE7" s="218"/>
      <c r="CF7" s="218"/>
      <c r="CG7" s="218"/>
      <c r="CH7" s="12"/>
      <c r="CI7" s="218"/>
      <c r="CJ7" s="11"/>
      <c r="CK7" s="10"/>
      <c r="CL7" s="10"/>
      <c r="CM7" s="10"/>
      <c r="CN7" s="10"/>
      <c r="CO7" s="10"/>
      <c r="CP7" s="12"/>
      <c r="CQ7" s="10"/>
      <c r="CR7" s="10"/>
      <c r="CS7" s="10"/>
      <c r="CT7" s="10"/>
      <c r="CU7" s="356"/>
      <c r="CV7" s="274"/>
      <c r="CW7" s="356"/>
    </row>
    <row r="8" spans="2:101" s="14" customFormat="1" ht="15" customHeight="1" x14ac:dyDescent="0.25">
      <c r="B8" s="42" t="s">
        <v>155</v>
      </c>
      <c r="C8" s="303">
        <v>56.8</v>
      </c>
      <c r="D8" s="354"/>
      <c r="E8" s="354"/>
      <c r="F8" s="354"/>
      <c r="G8" s="354"/>
      <c r="H8" s="354"/>
      <c r="I8" s="354"/>
      <c r="J8" s="354"/>
      <c r="K8" s="354"/>
      <c r="L8" s="354"/>
      <c r="M8" s="354"/>
      <c r="N8" s="354"/>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12"/>
      <c r="CI8" s="218"/>
      <c r="CJ8" s="11"/>
      <c r="CK8" s="10"/>
      <c r="CL8" s="10"/>
      <c r="CM8" s="10"/>
      <c r="CN8" s="10"/>
      <c r="CO8" s="10"/>
      <c r="CP8" s="12"/>
      <c r="CQ8" s="10"/>
      <c r="CR8" s="10"/>
      <c r="CS8" s="10"/>
      <c r="CT8" s="10"/>
      <c r="CU8" s="356"/>
      <c r="CV8" s="274"/>
      <c r="CW8" s="356"/>
    </row>
    <row r="9" spans="2:101" s="14" customFormat="1" ht="15" customHeight="1" x14ac:dyDescent="0.25">
      <c r="B9" s="42" t="s">
        <v>179</v>
      </c>
      <c r="C9" s="303">
        <v>3.4</v>
      </c>
      <c r="D9" s="354"/>
      <c r="E9" s="354"/>
      <c r="F9" s="354"/>
      <c r="G9" s="354"/>
      <c r="H9" s="354"/>
      <c r="I9" s="354"/>
      <c r="J9" s="354"/>
      <c r="K9" s="354"/>
      <c r="L9" s="354"/>
      <c r="M9" s="354"/>
      <c r="N9" s="354"/>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12"/>
      <c r="CI9" s="218"/>
      <c r="CJ9" s="11"/>
      <c r="CK9" s="10"/>
      <c r="CL9" s="10"/>
      <c r="CM9" s="10"/>
      <c r="CN9" s="10"/>
      <c r="CO9" s="10"/>
      <c r="CP9" s="12"/>
      <c r="CQ9" s="10"/>
      <c r="CR9" s="10"/>
      <c r="CS9" s="10"/>
      <c r="CT9" s="10"/>
      <c r="CU9" s="356"/>
      <c r="CV9" s="274"/>
      <c r="CW9" s="356"/>
    </row>
    <row r="10" spans="2:101" s="14" customFormat="1" ht="15" customHeight="1" x14ac:dyDescent="0.25">
      <c r="B10" s="42" t="s">
        <v>180</v>
      </c>
      <c r="C10" s="303">
        <v>2.6</v>
      </c>
      <c r="D10" s="354"/>
      <c r="E10" s="354"/>
      <c r="F10" s="354"/>
      <c r="G10" s="354"/>
      <c r="H10" s="354"/>
      <c r="I10" s="354"/>
      <c r="J10" s="354"/>
      <c r="K10" s="354"/>
      <c r="L10" s="354"/>
      <c r="M10" s="354"/>
      <c r="N10" s="354"/>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218"/>
      <c r="BY10" s="218"/>
      <c r="BZ10" s="218"/>
      <c r="CA10" s="218"/>
      <c r="CB10" s="218"/>
      <c r="CC10" s="218"/>
      <c r="CD10" s="218"/>
      <c r="CE10" s="218"/>
      <c r="CF10" s="218"/>
      <c r="CG10" s="218"/>
      <c r="CH10" s="12"/>
      <c r="CI10" s="218"/>
      <c r="CJ10" s="11"/>
      <c r="CK10" s="10"/>
      <c r="CL10" s="10"/>
      <c r="CM10" s="10"/>
      <c r="CN10" s="10"/>
      <c r="CO10" s="10"/>
      <c r="CP10" s="12"/>
      <c r="CQ10" s="10"/>
      <c r="CR10" s="10"/>
      <c r="CS10" s="10"/>
      <c r="CT10" s="10"/>
      <c r="CU10" s="356"/>
      <c r="CV10" s="274"/>
      <c r="CW10" s="356"/>
    </row>
    <row r="11" spans="2:101" ht="15.75" thickBot="1" x14ac:dyDescent="0.3">
      <c r="B11" s="330" t="s">
        <v>156</v>
      </c>
      <c r="C11" s="486">
        <v>154.4</v>
      </c>
      <c r="D11" s="603"/>
      <c r="E11" s="603"/>
      <c r="F11" s="603"/>
      <c r="G11" s="603"/>
      <c r="H11" s="603"/>
      <c r="I11" s="603"/>
      <c r="J11" s="603"/>
      <c r="K11" s="603"/>
      <c r="L11" s="603"/>
      <c r="M11" s="603"/>
      <c r="N11" s="603"/>
      <c r="O11" s="345"/>
      <c r="P11" s="345"/>
      <c r="Q11" s="345"/>
      <c r="R11" s="345"/>
      <c r="S11" s="345"/>
      <c r="T11" s="345"/>
      <c r="U11" s="345"/>
      <c r="V11" s="345"/>
      <c r="W11" s="345"/>
      <c r="X11" s="345"/>
      <c r="Y11" s="345"/>
      <c r="Z11" s="345"/>
      <c r="AA11" s="345"/>
      <c r="AB11" s="345"/>
      <c r="AC11" s="345"/>
      <c r="AD11" s="345"/>
      <c r="AE11" s="345"/>
      <c r="AF11" s="345"/>
      <c r="AG11" s="345"/>
      <c r="AH11" s="345"/>
      <c r="AI11" s="345"/>
      <c r="AJ11" s="345"/>
      <c r="AK11" s="345"/>
      <c r="AL11" s="345"/>
      <c r="AM11" s="345"/>
      <c r="AN11" s="345"/>
      <c r="AO11" s="345"/>
      <c r="AP11" s="345"/>
      <c r="AQ11" s="345"/>
      <c r="AR11" s="345"/>
      <c r="AS11" s="345"/>
      <c r="AT11" s="345"/>
      <c r="AU11" s="345"/>
      <c r="AV11" s="345"/>
      <c r="AW11" s="345"/>
      <c r="AX11" s="345"/>
      <c r="AY11" s="345"/>
      <c r="AZ11" s="345"/>
      <c r="BA11" s="345"/>
      <c r="BB11" s="345"/>
      <c r="BC11" s="345"/>
      <c r="BD11" s="345"/>
      <c r="BE11" s="345"/>
      <c r="BF11" s="345"/>
      <c r="BG11" s="345"/>
      <c r="BH11" s="345"/>
      <c r="BI11" s="345"/>
      <c r="BJ11" s="345"/>
      <c r="BK11" s="9"/>
      <c r="BL11" s="9"/>
      <c r="BM11" s="9"/>
      <c r="BN11" s="9"/>
      <c r="BO11" s="9"/>
      <c r="BP11" s="9"/>
      <c r="BQ11" s="9"/>
      <c r="BR11" s="9"/>
      <c r="BS11" s="9"/>
      <c r="BT11" s="9"/>
      <c r="BU11" s="9"/>
      <c r="BV11" s="9"/>
      <c r="BW11" s="9"/>
      <c r="BX11" s="9"/>
      <c r="BY11" s="9"/>
      <c r="BZ11" s="9"/>
      <c r="CA11" s="9"/>
      <c r="CB11" s="9"/>
      <c r="CC11" s="9"/>
      <c r="CD11" s="9"/>
      <c r="CE11" s="9"/>
      <c r="CF11" s="9"/>
      <c r="CG11" s="9"/>
      <c r="CH11" s="6"/>
      <c r="CI11" s="9"/>
      <c r="CJ11" s="22"/>
      <c r="CK11" s="22"/>
      <c r="CL11" s="22"/>
      <c r="CM11" s="22"/>
      <c r="CN11" s="22"/>
      <c r="CO11" s="22"/>
      <c r="CP11" s="6"/>
      <c r="CQ11" s="22"/>
      <c r="CR11" s="22"/>
      <c r="CS11" s="22"/>
      <c r="CT11" s="22"/>
      <c r="CU11" s="359"/>
      <c r="CV11" s="359"/>
      <c r="CW11" s="359"/>
    </row>
    <row r="12" spans="2:101" x14ac:dyDescent="0.25">
      <c r="B12" s="5"/>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6"/>
      <c r="CI12" s="9"/>
      <c r="CJ12" s="22"/>
      <c r="CK12" s="22"/>
      <c r="CL12" s="22"/>
      <c r="CM12" s="22"/>
      <c r="CN12" s="22"/>
      <c r="CO12" s="22"/>
      <c r="CP12" s="6"/>
      <c r="CQ12" s="22"/>
      <c r="CR12" s="22"/>
      <c r="CS12" s="22"/>
      <c r="CT12" s="22"/>
      <c r="CU12" s="22"/>
      <c r="CV12" s="22"/>
      <c r="CW12" s="22"/>
    </row>
    <row r="13" spans="2:101" x14ac:dyDescent="0.25">
      <c r="B13" s="42" t="str" cm="1">
        <f t="array" aca="1" ref="B13" ca="1">MID(CELL("filename",B1),FIND("]",CELL("filename",B1))+1,255)</f>
        <v>Sterno Group</v>
      </c>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6"/>
      <c r="CI13" s="9"/>
      <c r="CJ13" s="22"/>
      <c r="CK13" s="22"/>
      <c r="CL13" s="22"/>
      <c r="CM13" s="22"/>
      <c r="CN13" s="22"/>
      <c r="CO13" s="22"/>
      <c r="CP13" s="6"/>
      <c r="CQ13" s="22"/>
      <c r="CR13" s="22"/>
      <c r="CS13" s="22"/>
      <c r="CT13" s="22"/>
      <c r="CU13" s="22"/>
      <c r="CV13" s="22"/>
      <c r="CW13" s="22"/>
    </row>
    <row r="14" spans="2:101" ht="15.75" thickBot="1" x14ac:dyDescent="0.3">
      <c r="B14" s="16"/>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6"/>
      <c r="CI14" s="9"/>
      <c r="CJ14" s="22"/>
      <c r="CK14" s="22"/>
      <c r="CL14" s="22"/>
      <c r="CM14" s="22"/>
      <c r="CN14" s="22"/>
      <c r="CO14" s="22"/>
      <c r="CP14" s="6"/>
      <c r="CQ14" s="22"/>
      <c r="CR14" s="22"/>
      <c r="CS14" s="22"/>
      <c r="CT14" s="22"/>
      <c r="CU14" s="22"/>
      <c r="CV14" s="22"/>
      <c r="CW14" s="22"/>
    </row>
    <row r="15" spans="2:101" ht="15.75" thickBot="1" x14ac:dyDescent="0.3">
      <c r="B15" s="5"/>
      <c r="C15" s="249"/>
      <c r="D15" s="249"/>
      <c r="E15" s="737">
        <v>2026</v>
      </c>
      <c r="F15" s="249"/>
      <c r="G15" s="807">
        <v>2025</v>
      </c>
      <c r="H15" s="808"/>
      <c r="I15" s="808"/>
      <c r="J15" s="808"/>
      <c r="K15" s="808"/>
      <c r="L15" s="808"/>
      <c r="M15" s="809"/>
      <c r="N15" s="249"/>
      <c r="O15" s="807">
        <v>2024</v>
      </c>
      <c r="P15" s="808"/>
      <c r="Q15" s="808"/>
      <c r="R15" s="808"/>
      <c r="S15" s="808"/>
      <c r="T15" s="808"/>
      <c r="U15" s="809"/>
      <c r="V15" s="606"/>
      <c r="W15" s="807">
        <v>2023</v>
      </c>
      <c r="X15" s="808"/>
      <c r="Y15" s="808"/>
      <c r="Z15" s="808"/>
      <c r="AA15" s="808"/>
      <c r="AB15" s="808"/>
      <c r="AC15" s="809"/>
      <c r="AD15" s="566"/>
      <c r="AE15" s="807">
        <v>2022</v>
      </c>
      <c r="AF15" s="808"/>
      <c r="AG15" s="808"/>
      <c r="AH15" s="808"/>
      <c r="AI15" s="808"/>
      <c r="AJ15" s="808"/>
      <c r="AK15" s="809"/>
      <c r="AL15" s="249"/>
      <c r="AM15" s="810">
        <v>2021</v>
      </c>
      <c r="AN15" s="811"/>
      <c r="AO15" s="811"/>
      <c r="AP15" s="811"/>
      <c r="AQ15" s="811"/>
      <c r="AR15" s="811"/>
      <c r="AS15" s="812"/>
      <c r="AT15" s="249"/>
      <c r="AU15" s="810">
        <v>2020</v>
      </c>
      <c r="AV15" s="811"/>
      <c r="AW15" s="811"/>
      <c r="AX15" s="811"/>
      <c r="AY15" s="811"/>
      <c r="AZ15" s="811"/>
      <c r="BA15" s="812"/>
      <c r="BB15" s="249"/>
      <c r="BC15" s="810">
        <v>2019</v>
      </c>
      <c r="BD15" s="811"/>
      <c r="BE15" s="811"/>
      <c r="BF15" s="811"/>
      <c r="BG15" s="811"/>
      <c r="BH15" s="811"/>
      <c r="BI15" s="812"/>
      <c r="BJ15" s="249"/>
      <c r="BK15" s="810">
        <v>2018</v>
      </c>
      <c r="BL15" s="811"/>
      <c r="BM15" s="811"/>
      <c r="BN15" s="811"/>
      <c r="BO15" s="811"/>
      <c r="BP15" s="811"/>
      <c r="BQ15" s="812"/>
      <c r="BR15" s="249"/>
      <c r="BS15" s="810">
        <v>2017</v>
      </c>
      <c r="BT15" s="811"/>
      <c r="BU15" s="811"/>
      <c r="BV15" s="811"/>
      <c r="BW15" s="811"/>
      <c r="BX15" s="811"/>
      <c r="BY15" s="812"/>
      <c r="BZ15" s="249"/>
      <c r="CA15" s="810">
        <v>2016</v>
      </c>
      <c r="CB15" s="811"/>
      <c r="CC15" s="811"/>
      <c r="CD15" s="811"/>
      <c r="CE15" s="811"/>
      <c r="CF15" s="811"/>
      <c r="CG15" s="812"/>
      <c r="CH15" s="6"/>
      <c r="CI15" s="810">
        <v>2015</v>
      </c>
      <c r="CJ15" s="811"/>
      <c r="CK15" s="811"/>
      <c r="CL15" s="811"/>
      <c r="CM15" s="811"/>
      <c r="CN15" s="811"/>
      <c r="CO15" s="812"/>
      <c r="CP15" s="6"/>
      <c r="CQ15" s="810">
        <v>2014</v>
      </c>
      <c r="CR15" s="811"/>
      <c r="CS15" s="811"/>
      <c r="CT15" s="811"/>
      <c r="CU15" s="811"/>
      <c r="CV15" s="811"/>
      <c r="CW15" s="812"/>
    </row>
    <row r="16" spans="2:101" x14ac:dyDescent="0.25">
      <c r="B16" s="5"/>
      <c r="C16" s="218"/>
      <c r="D16" s="218"/>
      <c r="E16" s="748" t="s">
        <v>3</v>
      </c>
      <c r="F16" s="218"/>
      <c r="G16" s="521" t="s">
        <v>3</v>
      </c>
      <c r="H16" s="97" t="s">
        <v>4</v>
      </c>
      <c r="I16" s="97" t="s">
        <v>5</v>
      </c>
      <c r="J16" s="10" t="s">
        <v>6</v>
      </c>
      <c r="K16" s="10" t="s">
        <v>7</v>
      </c>
      <c r="L16" s="81" t="str">
        <f>T16</f>
        <v>Q4 QTD</v>
      </c>
      <c r="M16" s="82" t="str">
        <f>U16</f>
        <v>Q4 YTD</v>
      </c>
      <c r="N16" s="218"/>
      <c r="O16" s="521" t="s">
        <v>3</v>
      </c>
      <c r="P16" s="97" t="s">
        <v>4</v>
      </c>
      <c r="Q16" s="97" t="s">
        <v>5</v>
      </c>
      <c r="R16" s="10" t="s">
        <v>6</v>
      </c>
      <c r="S16" s="10" t="s">
        <v>7</v>
      </c>
      <c r="T16" s="81" t="str">
        <f>AB16</f>
        <v>Q4 QTD</v>
      </c>
      <c r="U16" s="82" t="str">
        <f>AC16</f>
        <v>Q4 YTD</v>
      </c>
      <c r="V16" s="576"/>
      <c r="W16" s="521" t="s">
        <v>3</v>
      </c>
      <c r="X16" s="97" t="s">
        <v>4</v>
      </c>
      <c r="Y16" s="97" t="s">
        <v>5</v>
      </c>
      <c r="Z16" s="10" t="s">
        <v>6</v>
      </c>
      <c r="AA16" s="10" t="s">
        <v>7</v>
      </c>
      <c r="AB16" s="81" t="str">
        <f>AJ16</f>
        <v>Q4 QTD</v>
      </c>
      <c r="AC16" s="82" t="str">
        <f>AK16</f>
        <v>Q4 YTD</v>
      </c>
      <c r="AD16" s="476"/>
      <c r="AE16" s="521" t="s">
        <v>3</v>
      </c>
      <c r="AF16" s="97" t="s">
        <v>4</v>
      </c>
      <c r="AG16" s="97" t="s">
        <v>5</v>
      </c>
      <c r="AH16" s="10" t="s">
        <v>6</v>
      </c>
      <c r="AI16" s="10" t="s">
        <v>7</v>
      </c>
      <c r="AJ16" s="81" t="str">
        <f>AR16</f>
        <v>Q4 QTD</v>
      </c>
      <c r="AK16" s="82" t="str">
        <f>AS16</f>
        <v>Q4 YTD</v>
      </c>
      <c r="AL16" s="218"/>
      <c r="AM16" s="76" t="s">
        <v>3</v>
      </c>
      <c r="AN16" s="10" t="s">
        <v>4</v>
      </c>
      <c r="AO16" s="10" t="s">
        <v>5</v>
      </c>
      <c r="AP16" s="10" t="s">
        <v>6</v>
      </c>
      <c r="AQ16" s="10" t="s">
        <v>7</v>
      </c>
      <c r="AR16" s="10" t="s">
        <v>8</v>
      </c>
      <c r="AS16" s="13" t="s">
        <v>9</v>
      </c>
      <c r="AT16" s="218"/>
      <c r="AU16" s="76" t="s">
        <v>3</v>
      </c>
      <c r="AV16" s="10" t="s">
        <v>4</v>
      </c>
      <c r="AW16" s="10" t="s">
        <v>5</v>
      </c>
      <c r="AX16" s="10" t="s">
        <v>6</v>
      </c>
      <c r="AY16" s="10" t="s">
        <v>7</v>
      </c>
      <c r="AZ16" s="10" t="s">
        <v>8</v>
      </c>
      <c r="BA16" s="13" t="s">
        <v>9</v>
      </c>
      <c r="BB16" s="218"/>
      <c r="BC16" s="76" t="s">
        <v>3</v>
      </c>
      <c r="BD16" s="10" t="s">
        <v>4</v>
      </c>
      <c r="BE16" s="10" t="s">
        <v>5</v>
      </c>
      <c r="BF16" s="10" t="s">
        <v>6</v>
      </c>
      <c r="BG16" s="10" t="s">
        <v>7</v>
      </c>
      <c r="BH16" s="10" t="s">
        <v>8</v>
      </c>
      <c r="BI16" s="13" t="s">
        <v>9</v>
      </c>
      <c r="BJ16" s="218"/>
      <c r="BK16" s="76" t="s">
        <v>3</v>
      </c>
      <c r="BL16" s="10" t="s">
        <v>4</v>
      </c>
      <c r="BM16" s="10" t="s">
        <v>5</v>
      </c>
      <c r="BN16" s="10" t="s">
        <v>6</v>
      </c>
      <c r="BO16" s="10" t="s">
        <v>7</v>
      </c>
      <c r="BP16" s="10" t="s">
        <v>8</v>
      </c>
      <c r="BQ16" s="13" t="s">
        <v>9</v>
      </c>
      <c r="BR16" s="218"/>
      <c r="BS16" s="76" t="s">
        <v>3</v>
      </c>
      <c r="BT16" s="10" t="s">
        <v>4</v>
      </c>
      <c r="BU16" s="10" t="s">
        <v>5</v>
      </c>
      <c r="BV16" s="10" t="s">
        <v>6</v>
      </c>
      <c r="BW16" s="10" t="s">
        <v>7</v>
      </c>
      <c r="BX16" s="10" t="s">
        <v>8</v>
      </c>
      <c r="BY16" s="13" t="s">
        <v>9</v>
      </c>
      <c r="BZ16" s="218"/>
      <c r="CA16" s="76" t="s">
        <v>3</v>
      </c>
      <c r="CB16" s="10" t="s">
        <v>4</v>
      </c>
      <c r="CC16" s="10" t="s">
        <v>5</v>
      </c>
      <c r="CD16" s="10" t="s">
        <v>6</v>
      </c>
      <c r="CE16" s="10" t="s">
        <v>7</v>
      </c>
      <c r="CF16" s="10" t="s">
        <v>8</v>
      </c>
      <c r="CG16" s="13" t="s">
        <v>9</v>
      </c>
      <c r="CH16" s="6"/>
      <c r="CI16" s="76" t="s">
        <v>3</v>
      </c>
      <c r="CJ16" s="10" t="s">
        <v>4</v>
      </c>
      <c r="CK16" s="10" t="s">
        <v>5</v>
      </c>
      <c r="CL16" s="10" t="s">
        <v>6</v>
      </c>
      <c r="CM16" s="10" t="s">
        <v>7</v>
      </c>
      <c r="CN16" s="10" t="s">
        <v>8</v>
      </c>
      <c r="CO16" s="13" t="s">
        <v>9</v>
      </c>
      <c r="CP16" s="6"/>
      <c r="CQ16" s="76" t="s">
        <v>3</v>
      </c>
      <c r="CR16" s="10" t="s">
        <v>4</v>
      </c>
      <c r="CS16" s="10" t="s">
        <v>5</v>
      </c>
      <c r="CT16" s="10" t="s">
        <v>6</v>
      </c>
      <c r="CU16" s="10" t="s">
        <v>7</v>
      </c>
      <c r="CV16" s="10" t="s">
        <v>8</v>
      </c>
      <c r="CW16" s="13" t="s">
        <v>9</v>
      </c>
    </row>
    <row r="17" spans="1:101" x14ac:dyDescent="0.25">
      <c r="B17" s="5"/>
      <c r="C17" s="218"/>
      <c r="D17" s="218"/>
      <c r="E17" s="577"/>
      <c r="F17" s="218"/>
      <c r="G17" s="24"/>
      <c r="H17" s="405"/>
      <c r="I17" s="405"/>
      <c r="J17" s="405"/>
      <c r="K17" s="405"/>
      <c r="L17" s="405"/>
      <c r="M17" s="23"/>
      <c r="N17" s="218"/>
      <c r="O17" s="24"/>
      <c r="P17" s="405"/>
      <c r="Q17" s="405"/>
      <c r="R17" s="405"/>
      <c r="S17" s="405"/>
      <c r="T17" s="405"/>
      <c r="U17" s="23"/>
      <c r="V17" s="576"/>
      <c r="W17" s="24"/>
      <c r="X17" s="405"/>
      <c r="Y17" s="405"/>
      <c r="Z17" s="405"/>
      <c r="AA17" s="405"/>
      <c r="AB17" s="405"/>
      <c r="AC17" s="23"/>
      <c r="AD17" s="483"/>
      <c r="AE17" s="24"/>
      <c r="AF17" s="405"/>
      <c r="AG17" s="405"/>
      <c r="AH17" s="405"/>
      <c r="AI17" s="405"/>
      <c r="AJ17" s="405"/>
      <c r="AK17" s="23"/>
      <c r="AL17" s="218"/>
      <c r="AM17" s="24"/>
      <c r="AN17" s="405"/>
      <c r="AO17" s="405"/>
      <c r="AP17" s="405"/>
      <c r="AQ17" s="405"/>
      <c r="AR17" s="405"/>
      <c r="AS17" s="23"/>
      <c r="AT17" s="218"/>
      <c r="AU17" s="24"/>
      <c r="AV17" s="405"/>
      <c r="AW17" s="405"/>
      <c r="AX17" s="405"/>
      <c r="AY17" s="405"/>
      <c r="AZ17" s="405"/>
      <c r="BA17" s="23"/>
      <c r="BB17" s="218"/>
      <c r="BC17" s="24"/>
      <c r="BD17" s="22"/>
      <c r="BE17" s="22"/>
      <c r="BF17" s="22"/>
      <c r="BG17" s="22"/>
      <c r="BH17" s="22"/>
      <c r="BI17" s="23"/>
      <c r="BJ17" s="218"/>
      <c r="BK17" s="24"/>
      <c r="BL17" s="22"/>
      <c r="BM17" s="22"/>
      <c r="BN17" s="22"/>
      <c r="BO17" s="22"/>
      <c r="BP17" s="22"/>
      <c r="BQ17" s="23"/>
      <c r="BR17" s="218"/>
      <c r="BS17" s="24"/>
      <c r="BT17" s="22"/>
      <c r="BU17" s="22"/>
      <c r="BV17" s="22"/>
      <c r="BW17" s="22"/>
      <c r="BX17" s="22"/>
      <c r="BY17" s="23"/>
      <c r="BZ17" s="218"/>
      <c r="CA17" s="24"/>
      <c r="CB17" s="22"/>
      <c r="CC17" s="22"/>
      <c r="CD17" s="22"/>
      <c r="CE17" s="22"/>
      <c r="CF17" s="22"/>
      <c r="CG17" s="23"/>
      <c r="CH17" s="6"/>
      <c r="CI17" s="24"/>
      <c r="CJ17" s="22"/>
      <c r="CK17" s="22"/>
      <c r="CL17" s="22"/>
      <c r="CM17" s="22"/>
      <c r="CN17" s="22"/>
      <c r="CO17" s="23"/>
      <c r="CP17" s="6"/>
      <c r="CQ17" s="24"/>
      <c r="CR17" s="22"/>
      <c r="CS17" s="22"/>
      <c r="CT17" s="22"/>
      <c r="CU17" s="22"/>
      <c r="CV17" s="22"/>
      <c r="CW17" s="23"/>
    </row>
    <row r="18" spans="1:101" s="14" customFormat="1" x14ac:dyDescent="0.25">
      <c r="A18" s="95" t="s">
        <v>10</v>
      </c>
      <c r="B18" s="16" t="s">
        <v>10</v>
      </c>
      <c r="C18" s="218"/>
      <c r="D18" s="218"/>
      <c r="E18" s="706">
        <v>65049.997000000003</v>
      </c>
      <c r="F18" s="218"/>
      <c r="G18" s="567">
        <v>65380.758000000002</v>
      </c>
      <c r="H18" s="406">
        <v>77505.284</v>
      </c>
      <c r="I18" s="406">
        <v>142886.04199999999</v>
      </c>
      <c r="J18" s="406">
        <v>73460.05</v>
      </c>
      <c r="K18" s="406">
        <v>216346.092</v>
      </c>
      <c r="L18" s="406">
        <v>89185.468999999997</v>
      </c>
      <c r="M18" s="21">
        <v>305531.56099999999</v>
      </c>
      <c r="N18" s="218"/>
      <c r="O18" s="567">
        <v>64860</v>
      </c>
      <c r="P18" s="406">
        <v>73767</v>
      </c>
      <c r="Q18" s="406">
        <v>138627</v>
      </c>
      <c r="R18" s="406">
        <v>85187</v>
      </c>
      <c r="S18" s="406">
        <v>223814</v>
      </c>
      <c r="T18" s="406">
        <v>94634</v>
      </c>
      <c r="U18" s="406">
        <v>318448</v>
      </c>
      <c r="V18" s="576"/>
      <c r="W18" s="567">
        <v>75019</v>
      </c>
      <c r="X18" s="406">
        <f>Y18-W18</f>
        <v>74615</v>
      </c>
      <c r="Y18" s="406">
        <v>149634</v>
      </c>
      <c r="Z18" s="406">
        <f>AA18-Y18</f>
        <v>80185</v>
      </c>
      <c r="AA18" s="423">
        <v>229819</v>
      </c>
      <c r="AB18" s="406">
        <f>AC18-AA18</f>
        <v>94010.515000000014</v>
      </c>
      <c r="AC18" s="21">
        <v>323829.51500000001</v>
      </c>
      <c r="AD18" s="483"/>
      <c r="AE18" s="25">
        <v>76920</v>
      </c>
      <c r="AF18" s="406">
        <f>AG18-AE18</f>
        <v>84188.942999999999</v>
      </c>
      <c r="AG18" s="406">
        <v>161108.943</v>
      </c>
      <c r="AH18" s="406">
        <f>AI18-AG18</f>
        <v>88636.057000000001</v>
      </c>
      <c r="AI18" s="406">
        <v>249745</v>
      </c>
      <c r="AJ18" s="406">
        <f>AK18-AI18</f>
        <v>102406</v>
      </c>
      <c r="AK18" s="21">
        <v>352151</v>
      </c>
      <c r="AL18" s="218"/>
      <c r="AM18" s="25">
        <v>77315</v>
      </c>
      <c r="AN18" s="406">
        <v>89256</v>
      </c>
      <c r="AO18" s="406">
        <v>166571</v>
      </c>
      <c r="AP18" s="406">
        <v>100827</v>
      </c>
      <c r="AQ18" s="406">
        <v>267398</v>
      </c>
      <c r="AR18" s="406">
        <f>AS18-AQ18</f>
        <v>107729</v>
      </c>
      <c r="AS18" s="21">
        <v>375127</v>
      </c>
      <c r="AT18" s="218"/>
      <c r="AU18" s="25">
        <v>83032</v>
      </c>
      <c r="AV18" s="406">
        <v>77363</v>
      </c>
      <c r="AW18" s="406">
        <v>160395</v>
      </c>
      <c r="AX18" s="406">
        <v>97737</v>
      </c>
      <c r="AY18" s="406">
        <v>258132</v>
      </c>
      <c r="AZ18" s="406">
        <v>111849</v>
      </c>
      <c r="BA18" s="21">
        <v>369981</v>
      </c>
      <c r="BB18" s="218"/>
      <c r="BC18" s="25">
        <v>91195</v>
      </c>
      <c r="BD18" s="20">
        <v>86466</v>
      </c>
      <c r="BE18" s="20">
        <v>177661</v>
      </c>
      <c r="BF18" s="20">
        <v>111471</v>
      </c>
      <c r="BG18" s="20">
        <v>289132</v>
      </c>
      <c r="BH18" s="20">
        <v>106312</v>
      </c>
      <c r="BI18" s="21">
        <v>395444</v>
      </c>
      <c r="BJ18" s="218"/>
      <c r="BK18" s="25">
        <v>65232</v>
      </c>
      <c r="BL18" s="20">
        <v>87970</v>
      </c>
      <c r="BM18" s="20">
        <v>153202</v>
      </c>
      <c r="BN18" s="20">
        <v>113868</v>
      </c>
      <c r="BO18" s="20">
        <v>267070</v>
      </c>
      <c r="BP18" s="20">
        <v>114005</v>
      </c>
      <c r="BQ18" s="21">
        <v>381075</v>
      </c>
      <c r="BR18" s="218"/>
      <c r="BS18" s="25">
        <v>52528</v>
      </c>
      <c r="BT18" s="20">
        <v>57868</v>
      </c>
      <c r="BU18" s="20">
        <v>110396</v>
      </c>
      <c r="BV18" s="20">
        <v>52697</v>
      </c>
      <c r="BW18" s="20">
        <v>163093</v>
      </c>
      <c r="BX18" s="20">
        <v>63017</v>
      </c>
      <c r="BY18" s="21">
        <v>226110</v>
      </c>
      <c r="BZ18" s="218"/>
      <c r="CA18" s="25">
        <v>43969</v>
      </c>
      <c r="CB18" s="20">
        <v>57141</v>
      </c>
      <c r="CC18" s="20">
        <v>101110</v>
      </c>
      <c r="CD18" s="20">
        <v>55582</v>
      </c>
      <c r="CE18" s="20">
        <v>156692</v>
      </c>
      <c r="CF18" s="20">
        <v>62125</v>
      </c>
      <c r="CG18" s="21">
        <v>218817</v>
      </c>
      <c r="CH18" s="26"/>
      <c r="CI18" s="25">
        <v>28604</v>
      </c>
      <c r="CJ18" s="20">
        <v>38366</v>
      </c>
      <c r="CK18" s="20">
        <v>66970</v>
      </c>
      <c r="CL18" s="20">
        <v>31710</v>
      </c>
      <c r="CM18" s="20">
        <v>98680</v>
      </c>
      <c r="CN18" s="20">
        <v>41311</v>
      </c>
      <c r="CO18" s="21">
        <v>139991</v>
      </c>
      <c r="CP18" s="26"/>
      <c r="CQ18" s="25">
        <v>0</v>
      </c>
      <c r="CR18" s="20">
        <v>0</v>
      </c>
      <c r="CS18" s="20">
        <v>0</v>
      </c>
      <c r="CT18" s="20">
        <v>0</v>
      </c>
      <c r="CU18" s="20">
        <v>0</v>
      </c>
      <c r="CV18" s="20">
        <v>36711</v>
      </c>
      <c r="CW18" s="21">
        <v>36711</v>
      </c>
    </row>
    <row r="19" spans="1:101" s="194" customFormat="1" ht="17.25" x14ac:dyDescent="0.4">
      <c r="A19" s="95" t="s">
        <v>210</v>
      </c>
      <c r="B19" s="16" t="s">
        <v>11</v>
      </c>
      <c r="C19" s="289"/>
      <c r="D19" s="289"/>
      <c r="E19" s="739">
        <v>46604.307000000001</v>
      </c>
      <c r="F19" s="289"/>
      <c r="G19" s="568">
        <v>48082.692999999999</v>
      </c>
      <c r="H19" s="407">
        <v>55051.379000000001</v>
      </c>
      <c r="I19" s="407">
        <v>103134.072</v>
      </c>
      <c r="J19" s="407">
        <v>51133.224999999999</v>
      </c>
      <c r="K19" s="407">
        <v>154267.29699999999</v>
      </c>
      <c r="L19" s="407">
        <v>59953.561999999998</v>
      </c>
      <c r="M19" s="292">
        <v>214220.859</v>
      </c>
      <c r="N19" s="289"/>
      <c r="O19" s="568">
        <v>47147</v>
      </c>
      <c r="P19" s="407">
        <v>53791</v>
      </c>
      <c r="Q19" s="407">
        <v>100938</v>
      </c>
      <c r="R19" s="407">
        <v>64064</v>
      </c>
      <c r="S19" s="407">
        <v>165001</v>
      </c>
      <c r="T19" s="407">
        <v>68264</v>
      </c>
      <c r="U19" s="407">
        <v>233265</v>
      </c>
      <c r="V19" s="607"/>
      <c r="W19" s="568">
        <v>58459</v>
      </c>
      <c r="X19" s="407">
        <f t="shared" ref="X19:AB45" si="0">Y19-W19</f>
        <v>55136</v>
      </c>
      <c r="Y19" s="407">
        <v>113595</v>
      </c>
      <c r="Z19" s="407">
        <f t="shared" si="0"/>
        <v>60436</v>
      </c>
      <c r="AA19" s="427">
        <v>174031</v>
      </c>
      <c r="AB19" s="407">
        <f t="shared" si="0"/>
        <v>71285.100999999995</v>
      </c>
      <c r="AC19" s="292">
        <v>245316.101</v>
      </c>
      <c r="AD19" s="483"/>
      <c r="AE19" s="291">
        <v>62424</v>
      </c>
      <c r="AF19" s="407">
        <f t="shared" ref="AF19:AF45" si="1">AG19-AE19</f>
        <v>64088</v>
      </c>
      <c r="AG19" s="407">
        <v>126512</v>
      </c>
      <c r="AH19" s="407">
        <f t="shared" ref="AH19:AH45" si="2">AI19-AG19</f>
        <v>74167</v>
      </c>
      <c r="AI19" s="407">
        <v>200679</v>
      </c>
      <c r="AJ19" s="407">
        <f t="shared" ref="AJ19:AJ45" si="3">AK19-AI19</f>
        <v>84046</v>
      </c>
      <c r="AK19" s="292">
        <v>284725</v>
      </c>
      <c r="AL19" s="289"/>
      <c r="AM19" s="291">
        <v>61034</v>
      </c>
      <c r="AN19" s="407">
        <v>70096</v>
      </c>
      <c r="AO19" s="407">
        <v>131130</v>
      </c>
      <c r="AP19" s="407">
        <v>83200</v>
      </c>
      <c r="AQ19" s="407">
        <v>214330</v>
      </c>
      <c r="AR19" s="407">
        <f t="shared" ref="AR19:AR44" si="4">AS19-AQ19</f>
        <v>88787</v>
      </c>
      <c r="AS19" s="292">
        <v>303117</v>
      </c>
      <c r="AT19" s="289"/>
      <c r="AU19" s="291">
        <v>64432</v>
      </c>
      <c r="AV19" s="407">
        <v>60167</v>
      </c>
      <c r="AW19" s="407">
        <v>124599</v>
      </c>
      <c r="AX19" s="407">
        <v>76888</v>
      </c>
      <c r="AY19" s="407">
        <v>201487</v>
      </c>
      <c r="AZ19" s="407">
        <v>90291</v>
      </c>
      <c r="BA19" s="292">
        <v>291778</v>
      </c>
      <c r="BB19" s="289"/>
      <c r="BC19" s="291">
        <v>68842</v>
      </c>
      <c r="BD19" s="290">
        <v>63799</v>
      </c>
      <c r="BE19" s="290">
        <v>132641</v>
      </c>
      <c r="BF19" s="290">
        <v>84501</v>
      </c>
      <c r="BG19" s="290">
        <v>217142</v>
      </c>
      <c r="BH19" s="290">
        <v>76303</v>
      </c>
      <c r="BI19" s="292">
        <v>293445</v>
      </c>
      <c r="BJ19" s="289"/>
      <c r="BK19" s="291">
        <v>49412</v>
      </c>
      <c r="BL19" s="290">
        <v>69483</v>
      </c>
      <c r="BM19" s="290">
        <v>118895</v>
      </c>
      <c r="BN19" s="290">
        <v>87204</v>
      </c>
      <c r="BO19" s="290">
        <v>206099</v>
      </c>
      <c r="BP19" s="290">
        <v>84006</v>
      </c>
      <c r="BQ19" s="292">
        <v>290105</v>
      </c>
      <c r="BR19" s="289"/>
      <c r="BS19" s="291">
        <v>39026</v>
      </c>
      <c r="BT19" s="290">
        <v>42084</v>
      </c>
      <c r="BU19" s="290">
        <v>81110</v>
      </c>
      <c r="BV19" s="290">
        <v>38865</v>
      </c>
      <c r="BW19" s="290">
        <v>119975</v>
      </c>
      <c r="BX19" s="290">
        <v>50380</v>
      </c>
      <c r="BY19" s="292">
        <v>170355</v>
      </c>
      <c r="BZ19" s="289"/>
      <c r="CA19" s="291">
        <v>33123</v>
      </c>
      <c r="CB19" s="290">
        <v>40857</v>
      </c>
      <c r="CC19" s="290">
        <v>73980</v>
      </c>
      <c r="CD19" s="290">
        <v>39744</v>
      </c>
      <c r="CE19" s="290">
        <v>113724</v>
      </c>
      <c r="CF19" s="290">
        <v>44998</v>
      </c>
      <c r="CG19" s="292">
        <v>158722</v>
      </c>
      <c r="CH19" s="165"/>
      <c r="CI19" s="291">
        <v>22389</v>
      </c>
      <c r="CJ19" s="290">
        <v>28645</v>
      </c>
      <c r="CK19" s="290">
        <v>51034</v>
      </c>
      <c r="CL19" s="290">
        <v>23390</v>
      </c>
      <c r="CM19" s="290">
        <v>74424</v>
      </c>
      <c r="CN19" s="290">
        <v>29948</v>
      </c>
      <c r="CO19" s="292">
        <v>104372</v>
      </c>
      <c r="CP19" s="165"/>
      <c r="CQ19" s="291">
        <v>0</v>
      </c>
      <c r="CR19" s="290">
        <v>0</v>
      </c>
      <c r="CS19" s="290">
        <v>0</v>
      </c>
      <c r="CT19" s="290">
        <v>0</v>
      </c>
      <c r="CU19" s="290">
        <v>0</v>
      </c>
      <c r="CV19" s="290">
        <v>30134</v>
      </c>
      <c r="CW19" s="292">
        <v>30134</v>
      </c>
    </row>
    <row r="20" spans="1:101" s="14" customFormat="1" x14ac:dyDescent="0.25">
      <c r="A20" s="95" t="s">
        <v>12</v>
      </c>
      <c r="B20" s="16" t="s">
        <v>12</v>
      </c>
      <c r="C20" s="218"/>
      <c r="D20" s="218"/>
      <c r="E20" s="578">
        <f t="shared" ref="E20" si="5">E18-E19</f>
        <v>18445.690000000002</v>
      </c>
      <c r="F20" s="218"/>
      <c r="G20" s="25">
        <f t="shared" ref="G20:M20" si="6">G18-G19</f>
        <v>17298.065000000002</v>
      </c>
      <c r="H20" s="406">
        <f t="shared" si="6"/>
        <v>22453.904999999999</v>
      </c>
      <c r="I20" s="406">
        <f t="shared" si="6"/>
        <v>39751.969999999987</v>
      </c>
      <c r="J20" s="406">
        <f t="shared" si="6"/>
        <v>22326.825000000004</v>
      </c>
      <c r="K20" s="406">
        <f t="shared" si="6"/>
        <v>62078.795000000013</v>
      </c>
      <c r="L20" s="406">
        <f t="shared" si="6"/>
        <v>29231.906999999999</v>
      </c>
      <c r="M20" s="21">
        <f t="shared" si="6"/>
        <v>91310.70199999999</v>
      </c>
      <c r="N20" s="218"/>
      <c r="O20" s="25">
        <f t="shared" ref="O20:U20" si="7">O18-O19</f>
        <v>17713</v>
      </c>
      <c r="P20" s="406">
        <f t="shared" si="7"/>
        <v>19976</v>
      </c>
      <c r="Q20" s="406">
        <f t="shared" si="7"/>
        <v>37689</v>
      </c>
      <c r="R20" s="406">
        <f t="shared" si="7"/>
        <v>21123</v>
      </c>
      <c r="S20" s="406">
        <f t="shared" si="7"/>
        <v>58813</v>
      </c>
      <c r="T20" s="406">
        <f t="shared" si="7"/>
        <v>26370</v>
      </c>
      <c r="U20" s="406">
        <f t="shared" si="7"/>
        <v>85183</v>
      </c>
      <c r="V20" s="576"/>
      <c r="W20" s="567">
        <v>16560</v>
      </c>
      <c r="X20" s="406">
        <f t="shared" si="0"/>
        <v>19479</v>
      </c>
      <c r="Y20" s="406">
        <v>36039</v>
      </c>
      <c r="Z20" s="406">
        <f t="shared" si="0"/>
        <v>19749</v>
      </c>
      <c r="AA20" s="423">
        <v>55788</v>
      </c>
      <c r="AB20" s="406">
        <f t="shared" si="0"/>
        <v>22725.414000000004</v>
      </c>
      <c r="AC20" s="21">
        <v>78513.414000000004</v>
      </c>
      <c r="AD20" s="483"/>
      <c r="AE20" s="25">
        <f>AE18-AE19</f>
        <v>14496</v>
      </c>
      <c r="AF20" s="406">
        <f t="shared" si="1"/>
        <v>20100.744999999995</v>
      </c>
      <c r="AG20" s="406">
        <v>34596.744999999995</v>
      </c>
      <c r="AH20" s="406">
        <f t="shared" si="2"/>
        <v>14469.255000000005</v>
      </c>
      <c r="AI20" s="406">
        <v>49066</v>
      </c>
      <c r="AJ20" s="406">
        <f t="shared" si="3"/>
        <v>18360</v>
      </c>
      <c r="AK20" s="21">
        <v>67426</v>
      </c>
      <c r="AL20" s="218"/>
      <c r="AM20" s="25">
        <v>16281</v>
      </c>
      <c r="AN20" s="406">
        <v>19160</v>
      </c>
      <c r="AO20" s="406">
        <v>35441</v>
      </c>
      <c r="AP20" s="406">
        <v>17627</v>
      </c>
      <c r="AQ20" s="406">
        <v>53068</v>
      </c>
      <c r="AR20" s="406">
        <f t="shared" si="4"/>
        <v>18942</v>
      </c>
      <c r="AS20" s="21">
        <f>AS18-AS19</f>
        <v>72010</v>
      </c>
      <c r="AT20" s="218"/>
      <c r="AU20" s="25">
        <v>18600</v>
      </c>
      <c r="AV20" s="406">
        <v>17196</v>
      </c>
      <c r="AW20" s="406">
        <v>35796</v>
      </c>
      <c r="AX20" s="406">
        <v>20849</v>
      </c>
      <c r="AY20" s="406">
        <v>56645</v>
      </c>
      <c r="AZ20" s="406">
        <v>21558</v>
      </c>
      <c r="BA20" s="21">
        <v>78203</v>
      </c>
      <c r="BB20" s="218"/>
      <c r="BC20" s="25">
        <v>22353</v>
      </c>
      <c r="BD20" s="20">
        <v>22667</v>
      </c>
      <c r="BE20" s="20">
        <v>45020</v>
      </c>
      <c r="BF20" s="20">
        <v>26970</v>
      </c>
      <c r="BG20" s="20">
        <v>71990</v>
      </c>
      <c r="BH20" s="20">
        <v>30009</v>
      </c>
      <c r="BI20" s="21">
        <v>101999</v>
      </c>
      <c r="BJ20" s="218"/>
      <c r="BK20" s="25">
        <v>15820</v>
      </c>
      <c r="BL20" s="20">
        <v>18487</v>
      </c>
      <c r="BM20" s="20">
        <v>34307</v>
      </c>
      <c r="BN20" s="20">
        <v>26664</v>
      </c>
      <c r="BO20" s="20">
        <v>60971</v>
      </c>
      <c r="BP20" s="20">
        <v>29999</v>
      </c>
      <c r="BQ20" s="21">
        <v>90970</v>
      </c>
      <c r="BR20" s="218"/>
      <c r="BS20" s="25">
        <v>13502</v>
      </c>
      <c r="BT20" s="20">
        <v>15784</v>
      </c>
      <c r="BU20" s="20">
        <v>29286</v>
      </c>
      <c r="BV20" s="20">
        <v>13832</v>
      </c>
      <c r="BW20" s="20">
        <v>43118</v>
      </c>
      <c r="BX20" s="20">
        <v>12637</v>
      </c>
      <c r="BY20" s="21">
        <v>55755</v>
      </c>
      <c r="BZ20" s="218"/>
      <c r="CA20" s="25">
        <v>10846</v>
      </c>
      <c r="CB20" s="20">
        <v>16284</v>
      </c>
      <c r="CC20" s="20">
        <v>27130</v>
      </c>
      <c r="CD20" s="20">
        <v>15838</v>
      </c>
      <c r="CE20" s="20">
        <v>42968</v>
      </c>
      <c r="CF20" s="20">
        <v>17127</v>
      </c>
      <c r="CG20" s="21">
        <v>60095</v>
      </c>
      <c r="CH20" s="26"/>
      <c r="CI20" s="25">
        <v>6215</v>
      </c>
      <c r="CJ20" s="20">
        <v>9721</v>
      </c>
      <c r="CK20" s="20">
        <v>15936</v>
      </c>
      <c r="CL20" s="20">
        <v>8320</v>
      </c>
      <c r="CM20" s="20">
        <v>24256</v>
      </c>
      <c r="CN20" s="20">
        <v>11363</v>
      </c>
      <c r="CO20" s="21">
        <v>35619</v>
      </c>
      <c r="CP20" s="26"/>
      <c r="CQ20" s="25">
        <v>0</v>
      </c>
      <c r="CR20" s="20">
        <v>0</v>
      </c>
      <c r="CS20" s="20">
        <v>0</v>
      </c>
      <c r="CT20" s="20">
        <v>0</v>
      </c>
      <c r="CU20" s="20">
        <v>0</v>
      </c>
      <c r="CV20" s="20">
        <v>6577</v>
      </c>
      <c r="CW20" s="21">
        <v>6577</v>
      </c>
    </row>
    <row r="21" spans="1:101" ht="15" customHeight="1" outlineLevel="1" x14ac:dyDescent="0.25">
      <c r="A21" s="95" t="s">
        <v>211</v>
      </c>
      <c r="B21" s="5" t="s">
        <v>13</v>
      </c>
      <c r="C21" s="218"/>
      <c r="D21" s="218"/>
      <c r="E21" s="740">
        <v>8761.2530000000006</v>
      </c>
      <c r="F21" s="218"/>
      <c r="G21" s="569">
        <v>8205.5040000000008</v>
      </c>
      <c r="H21" s="408">
        <v>8610.2119999999995</v>
      </c>
      <c r="I21" s="408">
        <v>16815.716</v>
      </c>
      <c r="J21" s="408">
        <v>9778.4169999999995</v>
      </c>
      <c r="K21" s="408">
        <v>26594.133000000002</v>
      </c>
      <c r="L21" s="408">
        <v>11184.969000000001</v>
      </c>
      <c r="M21" s="29">
        <v>37779.101999999999</v>
      </c>
      <c r="N21" s="218"/>
      <c r="O21" s="569">
        <v>8691</v>
      </c>
      <c r="P21" s="408">
        <v>7869</v>
      </c>
      <c r="Q21" s="408">
        <v>16560</v>
      </c>
      <c r="R21" s="408">
        <v>9915</v>
      </c>
      <c r="S21" s="408">
        <v>26475</v>
      </c>
      <c r="T21" s="408">
        <v>11650</v>
      </c>
      <c r="U21" s="408">
        <v>38125</v>
      </c>
      <c r="V21" s="576"/>
      <c r="W21" s="569">
        <v>7830</v>
      </c>
      <c r="X21" s="408">
        <f t="shared" si="0"/>
        <v>8154</v>
      </c>
      <c r="Y21" s="408">
        <v>15984</v>
      </c>
      <c r="Z21" s="408">
        <f t="shared" si="0"/>
        <v>9073</v>
      </c>
      <c r="AA21" s="424">
        <v>25057</v>
      </c>
      <c r="AB21" s="408">
        <f t="shared" si="0"/>
        <v>11655.093000000001</v>
      </c>
      <c r="AC21" s="29">
        <v>36712.093000000001</v>
      </c>
      <c r="AD21" s="483"/>
      <c r="AE21" s="27">
        <v>7194</v>
      </c>
      <c r="AF21" s="408">
        <f t="shared" si="1"/>
        <v>7879.0840000000007</v>
      </c>
      <c r="AG21" s="408">
        <v>15073.084000000001</v>
      </c>
      <c r="AH21" s="408">
        <f t="shared" si="2"/>
        <v>7417.9159999999993</v>
      </c>
      <c r="AI21" s="408">
        <v>22491</v>
      </c>
      <c r="AJ21" s="408">
        <f t="shared" si="3"/>
        <v>8103</v>
      </c>
      <c r="AK21" s="29">
        <v>30594</v>
      </c>
      <c r="AL21" s="218"/>
      <c r="AM21" s="27">
        <v>7619</v>
      </c>
      <c r="AN21" s="408">
        <v>8204</v>
      </c>
      <c r="AO21" s="408">
        <v>15823</v>
      </c>
      <c r="AP21" s="408">
        <v>9017</v>
      </c>
      <c r="AQ21" s="408">
        <v>24840</v>
      </c>
      <c r="AR21" s="408">
        <f t="shared" si="4"/>
        <v>8016</v>
      </c>
      <c r="AS21" s="29">
        <v>32856</v>
      </c>
      <c r="AT21" s="218"/>
      <c r="AU21" s="27">
        <v>8953</v>
      </c>
      <c r="AV21" s="408">
        <v>8855</v>
      </c>
      <c r="AW21" s="408">
        <v>17808</v>
      </c>
      <c r="AX21" s="408">
        <v>8797</v>
      </c>
      <c r="AY21" s="408">
        <v>26605</v>
      </c>
      <c r="AZ21" s="408">
        <v>8314</v>
      </c>
      <c r="BA21" s="29">
        <v>34919</v>
      </c>
      <c r="BB21" s="218"/>
      <c r="BC21" s="27">
        <v>10092</v>
      </c>
      <c r="BD21" s="28">
        <v>10162</v>
      </c>
      <c r="BE21" s="28">
        <v>20254</v>
      </c>
      <c r="BF21" s="28">
        <v>9855</v>
      </c>
      <c r="BG21" s="28">
        <v>30109</v>
      </c>
      <c r="BH21" s="28">
        <v>9631</v>
      </c>
      <c r="BI21" s="29">
        <v>39740</v>
      </c>
      <c r="BJ21" s="218"/>
      <c r="BK21" s="27">
        <v>9053</v>
      </c>
      <c r="BL21" s="28">
        <v>10493</v>
      </c>
      <c r="BM21" s="28">
        <v>19546</v>
      </c>
      <c r="BN21" s="28">
        <v>10577</v>
      </c>
      <c r="BO21" s="28">
        <v>30123</v>
      </c>
      <c r="BP21" s="28">
        <v>5969</v>
      </c>
      <c r="BQ21" s="29">
        <v>36092</v>
      </c>
      <c r="BR21" s="218"/>
      <c r="BS21" s="27">
        <v>7866</v>
      </c>
      <c r="BT21" s="28">
        <v>8540</v>
      </c>
      <c r="BU21" s="28">
        <v>16406</v>
      </c>
      <c r="BV21" s="28">
        <v>7466</v>
      </c>
      <c r="BW21" s="28">
        <v>23872</v>
      </c>
      <c r="BX21" s="28">
        <v>4790</v>
      </c>
      <c r="BY21" s="29">
        <v>28662</v>
      </c>
      <c r="BZ21" s="218"/>
      <c r="CA21" s="27">
        <v>6790</v>
      </c>
      <c r="CB21" s="28">
        <v>8222</v>
      </c>
      <c r="CC21" s="28">
        <v>15012</v>
      </c>
      <c r="CD21" s="28">
        <v>8556</v>
      </c>
      <c r="CE21" s="28">
        <v>23568</v>
      </c>
      <c r="CF21" s="28">
        <v>9914</v>
      </c>
      <c r="CG21" s="29">
        <v>33482</v>
      </c>
      <c r="CH21" s="26"/>
      <c r="CI21" s="27">
        <v>3622</v>
      </c>
      <c r="CJ21" s="28">
        <v>4169</v>
      </c>
      <c r="CK21" s="28">
        <v>7791</v>
      </c>
      <c r="CL21" s="28">
        <v>3985</v>
      </c>
      <c r="CM21" s="28">
        <v>11776</v>
      </c>
      <c r="CN21" s="28">
        <v>4820</v>
      </c>
      <c r="CO21" s="29">
        <v>16596</v>
      </c>
      <c r="CP21" s="26"/>
      <c r="CQ21" s="27">
        <v>0</v>
      </c>
      <c r="CR21" s="22">
        <v>0</v>
      </c>
      <c r="CS21" s="22">
        <v>0</v>
      </c>
      <c r="CT21" s="22">
        <v>0</v>
      </c>
      <c r="CU21" s="22">
        <v>0</v>
      </c>
      <c r="CV21" s="22">
        <v>6293</v>
      </c>
      <c r="CW21" s="23">
        <v>6293</v>
      </c>
    </row>
    <row r="22" spans="1:101" ht="15" customHeight="1" outlineLevel="1" x14ac:dyDescent="0.25">
      <c r="A22" s="95" t="s">
        <v>212</v>
      </c>
      <c r="B22" s="5" t="s">
        <v>14</v>
      </c>
      <c r="C22" s="218"/>
      <c r="D22" s="218"/>
      <c r="E22" s="740">
        <v>125</v>
      </c>
      <c r="F22" s="218"/>
      <c r="G22" s="569">
        <v>125</v>
      </c>
      <c r="H22" s="408">
        <v>125.001</v>
      </c>
      <c r="I22" s="408">
        <v>250.001</v>
      </c>
      <c r="J22" s="408">
        <v>124.999</v>
      </c>
      <c r="K22" s="408">
        <v>375</v>
      </c>
      <c r="L22" s="408">
        <v>125</v>
      </c>
      <c r="M22" s="29">
        <v>500</v>
      </c>
      <c r="N22" s="218"/>
      <c r="O22" s="569">
        <v>125</v>
      </c>
      <c r="P22" s="408">
        <v>125</v>
      </c>
      <c r="Q22" s="408">
        <v>250</v>
      </c>
      <c r="R22" s="408">
        <v>125</v>
      </c>
      <c r="S22" s="408">
        <v>375</v>
      </c>
      <c r="T22" s="408">
        <v>125</v>
      </c>
      <c r="U22" s="408">
        <v>500</v>
      </c>
      <c r="V22" s="576"/>
      <c r="W22" s="569">
        <v>125</v>
      </c>
      <c r="X22" s="408">
        <f t="shared" si="0"/>
        <v>125</v>
      </c>
      <c r="Y22" s="408">
        <v>250</v>
      </c>
      <c r="Z22" s="408">
        <f t="shared" si="0"/>
        <v>125</v>
      </c>
      <c r="AA22" s="424">
        <v>375</v>
      </c>
      <c r="AB22" s="408">
        <f t="shared" si="0"/>
        <v>125.00099999999998</v>
      </c>
      <c r="AC22" s="29">
        <v>500.00099999999998</v>
      </c>
      <c r="AD22" s="483"/>
      <c r="AE22" s="27">
        <v>125</v>
      </c>
      <c r="AF22" s="408">
        <f t="shared" si="1"/>
        <v>125</v>
      </c>
      <c r="AG22" s="408">
        <v>250</v>
      </c>
      <c r="AH22" s="408">
        <f t="shared" si="2"/>
        <v>125</v>
      </c>
      <c r="AI22" s="408">
        <v>375</v>
      </c>
      <c r="AJ22" s="408">
        <f t="shared" si="3"/>
        <v>125</v>
      </c>
      <c r="AK22" s="29">
        <v>500</v>
      </c>
      <c r="AL22" s="218"/>
      <c r="AM22" s="27">
        <v>125</v>
      </c>
      <c r="AN22" s="408">
        <v>125</v>
      </c>
      <c r="AO22" s="408">
        <v>250</v>
      </c>
      <c r="AP22" s="408">
        <v>125</v>
      </c>
      <c r="AQ22" s="408">
        <v>375</v>
      </c>
      <c r="AR22" s="408">
        <f t="shared" si="4"/>
        <v>125</v>
      </c>
      <c r="AS22" s="29">
        <v>500</v>
      </c>
      <c r="AT22" s="218"/>
      <c r="AU22" s="27">
        <v>125</v>
      </c>
      <c r="AV22" s="408">
        <v>125</v>
      </c>
      <c r="AW22" s="408">
        <v>250</v>
      </c>
      <c r="AX22" s="408">
        <v>125</v>
      </c>
      <c r="AY22" s="408">
        <v>375</v>
      </c>
      <c r="AZ22" s="408">
        <v>125</v>
      </c>
      <c r="BA22" s="29">
        <v>500</v>
      </c>
      <c r="BB22" s="218"/>
      <c r="BC22" s="27">
        <v>125</v>
      </c>
      <c r="BD22" s="28">
        <v>125</v>
      </c>
      <c r="BE22" s="28">
        <v>250</v>
      </c>
      <c r="BF22" s="28">
        <v>125</v>
      </c>
      <c r="BG22" s="28">
        <v>375</v>
      </c>
      <c r="BH22" s="28">
        <v>125</v>
      </c>
      <c r="BI22" s="29">
        <v>500</v>
      </c>
      <c r="BJ22" s="218"/>
      <c r="BK22" s="27">
        <v>125</v>
      </c>
      <c r="BL22" s="28">
        <v>125</v>
      </c>
      <c r="BM22" s="28">
        <v>250</v>
      </c>
      <c r="BN22" s="28">
        <v>125</v>
      </c>
      <c r="BO22" s="28">
        <v>375</v>
      </c>
      <c r="BP22" s="28">
        <v>125</v>
      </c>
      <c r="BQ22" s="29">
        <v>500</v>
      </c>
      <c r="BR22" s="218"/>
      <c r="BS22" s="27">
        <v>125</v>
      </c>
      <c r="BT22" s="28">
        <v>125</v>
      </c>
      <c r="BU22" s="28">
        <v>250</v>
      </c>
      <c r="BV22" s="28">
        <v>125</v>
      </c>
      <c r="BW22" s="28">
        <v>375</v>
      </c>
      <c r="BX22" s="28">
        <v>125</v>
      </c>
      <c r="BY22" s="29">
        <v>500</v>
      </c>
      <c r="BZ22" s="218"/>
      <c r="CA22" s="27">
        <v>125</v>
      </c>
      <c r="CB22" s="28">
        <v>125</v>
      </c>
      <c r="CC22" s="28">
        <v>250</v>
      </c>
      <c r="CD22" s="28">
        <v>125</v>
      </c>
      <c r="CE22" s="28">
        <v>375</v>
      </c>
      <c r="CF22" s="28">
        <v>125</v>
      </c>
      <c r="CG22" s="29">
        <v>500</v>
      </c>
      <c r="CH22" s="26"/>
      <c r="CI22" s="27">
        <v>125</v>
      </c>
      <c r="CJ22" s="28">
        <v>125</v>
      </c>
      <c r="CK22" s="28">
        <v>250</v>
      </c>
      <c r="CL22" s="28">
        <v>125</v>
      </c>
      <c r="CM22" s="28">
        <v>375</v>
      </c>
      <c r="CN22" s="28">
        <v>125</v>
      </c>
      <c r="CO22" s="29">
        <v>500</v>
      </c>
      <c r="CP22" s="26"/>
      <c r="CQ22" s="27">
        <v>0</v>
      </c>
      <c r="CR22" s="22">
        <v>0</v>
      </c>
      <c r="CS22" s="22">
        <v>0</v>
      </c>
      <c r="CT22" s="22">
        <v>0</v>
      </c>
      <c r="CU22" s="22">
        <v>0</v>
      </c>
      <c r="CV22" s="22">
        <v>125</v>
      </c>
      <c r="CW22" s="23">
        <v>125</v>
      </c>
    </row>
    <row r="23" spans="1:101" ht="15" customHeight="1" outlineLevel="1" x14ac:dyDescent="0.25">
      <c r="A23" s="95" t="s">
        <v>213</v>
      </c>
      <c r="B23" s="5" t="s">
        <v>15</v>
      </c>
      <c r="C23" s="218"/>
      <c r="D23" s="218"/>
      <c r="E23" s="740">
        <v>2337.4870000000001</v>
      </c>
      <c r="F23" s="218"/>
      <c r="G23" s="569">
        <v>2608.7370000000001</v>
      </c>
      <c r="H23" s="405">
        <v>2608.7370000000001</v>
      </c>
      <c r="I23" s="405">
        <v>5217.4740000000002</v>
      </c>
      <c r="J23" s="405">
        <v>2608.7370000000001</v>
      </c>
      <c r="K23" s="405">
        <v>7826.2110000000002</v>
      </c>
      <c r="L23" s="405">
        <v>2608.7379999999998</v>
      </c>
      <c r="M23" s="23">
        <v>10434.949000000001</v>
      </c>
      <c r="N23" s="218"/>
      <c r="O23" s="569">
        <v>4112</v>
      </c>
      <c r="P23" s="405">
        <v>4112</v>
      </c>
      <c r="Q23" s="405">
        <v>8224</v>
      </c>
      <c r="R23" s="405">
        <v>4112</v>
      </c>
      <c r="S23" s="405">
        <v>12337</v>
      </c>
      <c r="T23" s="405">
        <v>2774</v>
      </c>
      <c r="U23" s="405">
        <v>15111</v>
      </c>
      <c r="V23" s="576"/>
      <c r="W23" s="569">
        <v>4112</v>
      </c>
      <c r="X23" s="405">
        <f t="shared" si="0"/>
        <v>4112</v>
      </c>
      <c r="Y23" s="405">
        <v>8224</v>
      </c>
      <c r="Z23" s="405">
        <f t="shared" si="0"/>
        <v>4113</v>
      </c>
      <c r="AA23" s="424">
        <v>12337</v>
      </c>
      <c r="AB23" s="405">
        <f t="shared" si="0"/>
        <v>4111.9470000000001</v>
      </c>
      <c r="AC23" s="23">
        <v>16448.947</v>
      </c>
      <c r="AD23" s="483"/>
      <c r="AE23" s="24">
        <v>4143</v>
      </c>
      <c r="AF23" s="405">
        <f t="shared" si="1"/>
        <v>4142.2099999999991</v>
      </c>
      <c r="AG23" s="405">
        <v>8285.2099999999991</v>
      </c>
      <c r="AH23" s="405">
        <f t="shared" si="2"/>
        <v>4131.7900000000009</v>
      </c>
      <c r="AI23" s="405">
        <v>12417</v>
      </c>
      <c r="AJ23" s="405">
        <f t="shared" si="3"/>
        <v>4114</v>
      </c>
      <c r="AK23" s="23">
        <v>16531</v>
      </c>
      <c r="AL23" s="218"/>
      <c r="AM23" s="24">
        <v>4253</v>
      </c>
      <c r="AN23" s="405">
        <v>4253</v>
      </c>
      <c r="AO23" s="405">
        <v>8506</v>
      </c>
      <c r="AP23" s="405">
        <v>4253</v>
      </c>
      <c r="AQ23" s="405">
        <v>12759</v>
      </c>
      <c r="AR23" s="405">
        <f t="shared" si="4"/>
        <v>6018</v>
      </c>
      <c r="AS23" s="23">
        <v>18777</v>
      </c>
      <c r="AT23" s="218"/>
      <c r="AU23" s="24">
        <v>4253</v>
      </c>
      <c r="AV23" s="405">
        <v>4253</v>
      </c>
      <c r="AW23" s="405">
        <v>8506</v>
      </c>
      <c r="AX23" s="405">
        <v>4253</v>
      </c>
      <c r="AY23" s="405">
        <v>12759</v>
      </c>
      <c r="AZ23" s="405">
        <v>4253</v>
      </c>
      <c r="BA23" s="23">
        <v>17012</v>
      </c>
      <c r="BB23" s="218"/>
      <c r="BC23" s="24">
        <v>4154</v>
      </c>
      <c r="BD23" s="22">
        <v>4265</v>
      </c>
      <c r="BE23" s="22">
        <v>8419</v>
      </c>
      <c r="BF23" s="22">
        <v>4265</v>
      </c>
      <c r="BG23" s="22">
        <v>12684</v>
      </c>
      <c r="BH23" s="22">
        <v>4265</v>
      </c>
      <c r="BI23" s="23">
        <v>16949</v>
      </c>
      <c r="BJ23" s="218"/>
      <c r="BK23" s="24">
        <v>1891</v>
      </c>
      <c r="BL23" s="22">
        <v>5141</v>
      </c>
      <c r="BM23" s="22">
        <v>7032</v>
      </c>
      <c r="BN23" s="22">
        <v>4328</v>
      </c>
      <c r="BO23" s="22">
        <v>11360</v>
      </c>
      <c r="BP23" s="22">
        <v>4288</v>
      </c>
      <c r="BQ23" s="23">
        <v>15648</v>
      </c>
      <c r="BR23" s="218"/>
      <c r="BS23" s="24">
        <v>1859</v>
      </c>
      <c r="BT23" s="22">
        <v>1799</v>
      </c>
      <c r="BU23" s="22">
        <v>3658</v>
      </c>
      <c r="BV23" s="22">
        <v>1829</v>
      </c>
      <c r="BW23" s="22">
        <v>5487</v>
      </c>
      <c r="BX23" s="22">
        <v>1912</v>
      </c>
      <c r="BY23" s="23">
        <v>7399</v>
      </c>
      <c r="BZ23" s="218"/>
      <c r="CA23" s="24">
        <v>1519</v>
      </c>
      <c r="CB23" s="22">
        <v>1790</v>
      </c>
      <c r="CC23" s="22">
        <v>3309</v>
      </c>
      <c r="CD23" s="22">
        <v>1621</v>
      </c>
      <c r="CE23" s="22">
        <v>4930</v>
      </c>
      <c r="CF23" s="22">
        <v>2384</v>
      </c>
      <c r="CG23" s="23">
        <v>7314</v>
      </c>
      <c r="CH23" s="26"/>
      <c r="CI23" s="24">
        <v>812</v>
      </c>
      <c r="CJ23" s="22">
        <v>1504</v>
      </c>
      <c r="CK23" s="22">
        <v>2316</v>
      </c>
      <c r="CL23" s="22">
        <v>1503</v>
      </c>
      <c r="CM23" s="22">
        <v>3819</v>
      </c>
      <c r="CN23" s="22">
        <v>1504</v>
      </c>
      <c r="CO23" s="23">
        <v>5323</v>
      </c>
      <c r="CP23" s="26"/>
      <c r="CQ23" s="24">
        <v>0</v>
      </c>
      <c r="CR23" s="22">
        <v>0</v>
      </c>
      <c r="CS23" s="22">
        <v>0</v>
      </c>
      <c r="CT23" s="22">
        <v>0</v>
      </c>
      <c r="CU23" s="22">
        <v>0</v>
      </c>
      <c r="CV23" s="22">
        <v>1971</v>
      </c>
      <c r="CW23" s="23">
        <v>1971</v>
      </c>
    </row>
    <row r="24" spans="1:101" s="163" customFormat="1" ht="15" customHeight="1" outlineLevel="1" x14ac:dyDescent="0.4">
      <c r="A24" s="4" t="s">
        <v>234</v>
      </c>
      <c r="B24" s="5" t="s">
        <v>16</v>
      </c>
      <c r="C24" s="218"/>
      <c r="D24" s="218"/>
      <c r="E24" s="741">
        <v>0</v>
      </c>
      <c r="F24" s="218"/>
      <c r="G24" s="571">
        <v>0</v>
      </c>
      <c r="H24" s="410">
        <v>0</v>
      </c>
      <c r="I24" s="410">
        <v>0</v>
      </c>
      <c r="J24" s="410">
        <v>0</v>
      </c>
      <c r="K24" s="410">
        <v>0</v>
      </c>
      <c r="L24" s="410">
        <v>0</v>
      </c>
      <c r="M24" s="33">
        <v>0</v>
      </c>
      <c r="N24" s="218"/>
      <c r="O24" s="571">
        <v>0</v>
      </c>
      <c r="P24" s="410">
        <v>0</v>
      </c>
      <c r="Q24" s="410">
        <v>0</v>
      </c>
      <c r="R24" s="410">
        <v>0</v>
      </c>
      <c r="S24" s="410">
        <v>0</v>
      </c>
      <c r="T24" s="410">
        <v>0</v>
      </c>
      <c r="U24" s="410">
        <v>0</v>
      </c>
      <c r="V24" s="576"/>
      <c r="W24" s="571">
        <v>0</v>
      </c>
      <c r="X24" s="410">
        <f t="shared" si="0"/>
        <v>0</v>
      </c>
      <c r="Y24" s="410">
        <v>0</v>
      </c>
      <c r="Z24" s="410">
        <f t="shared" si="0"/>
        <v>0</v>
      </c>
      <c r="AA24" s="428">
        <v>0</v>
      </c>
      <c r="AB24" s="410">
        <f t="shared" si="0"/>
        <v>0</v>
      </c>
      <c r="AC24" s="33">
        <v>0</v>
      </c>
      <c r="AD24" s="483"/>
      <c r="AE24" s="160">
        <v>0</v>
      </c>
      <c r="AF24" s="409">
        <f t="shared" si="1"/>
        <v>0</v>
      </c>
      <c r="AG24" s="409">
        <v>0</v>
      </c>
      <c r="AH24" s="409">
        <f t="shared" si="2"/>
        <v>0</v>
      </c>
      <c r="AI24" s="409">
        <v>0</v>
      </c>
      <c r="AJ24" s="409">
        <f t="shared" si="3"/>
        <v>0</v>
      </c>
      <c r="AK24" s="162">
        <v>0</v>
      </c>
      <c r="AL24" s="218"/>
      <c r="AM24" s="160">
        <v>0</v>
      </c>
      <c r="AN24" s="409">
        <v>0</v>
      </c>
      <c r="AO24" s="409">
        <v>0</v>
      </c>
      <c r="AP24" s="409">
        <v>0</v>
      </c>
      <c r="AQ24" s="409">
        <v>0</v>
      </c>
      <c r="AR24" s="409">
        <f t="shared" si="4"/>
        <v>0</v>
      </c>
      <c r="AS24" s="162">
        <v>0</v>
      </c>
      <c r="AT24" s="218"/>
      <c r="AU24" s="160">
        <v>0</v>
      </c>
      <c r="AV24" s="409">
        <v>0</v>
      </c>
      <c r="AW24" s="409">
        <v>0</v>
      </c>
      <c r="AX24" s="409">
        <v>0</v>
      </c>
      <c r="AY24" s="409">
        <v>0</v>
      </c>
      <c r="AZ24" s="409">
        <v>0</v>
      </c>
      <c r="BA24" s="162">
        <v>0</v>
      </c>
      <c r="BB24" s="218"/>
      <c r="BC24" s="160">
        <v>0</v>
      </c>
      <c r="BD24" s="161">
        <v>0</v>
      </c>
      <c r="BE24" s="161">
        <v>0</v>
      </c>
      <c r="BF24" s="161">
        <v>0</v>
      </c>
      <c r="BG24" s="161">
        <v>0</v>
      </c>
      <c r="BH24" s="161">
        <v>0</v>
      </c>
      <c r="BI24" s="162">
        <v>0</v>
      </c>
      <c r="BJ24" s="218"/>
      <c r="BK24" s="160">
        <v>0</v>
      </c>
      <c r="BL24" s="161">
        <v>0</v>
      </c>
      <c r="BM24" s="161">
        <v>0</v>
      </c>
      <c r="BN24" s="161">
        <v>0</v>
      </c>
      <c r="BO24" s="161">
        <v>0</v>
      </c>
      <c r="BP24" s="161">
        <v>0</v>
      </c>
      <c r="BQ24" s="162">
        <v>0</v>
      </c>
      <c r="BR24" s="218"/>
      <c r="BS24" s="160">
        <v>0</v>
      </c>
      <c r="BT24" s="161">
        <v>0</v>
      </c>
      <c r="BU24" s="161">
        <v>0</v>
      </c>
      <c r="BV24" s="161">
        <v>0</v>
      </c>
      <c r="BW24" s="161">
        <v>0</v>
      </c>
      <c r="BX24" s="161">
        <v>0</v>
      </c>
      <c r="BY24" s="162">
        <v>0</v>
      </c>
      <c r="BZ24" s="218"/>
      <c r="CA24" s="160">
        <v>0</v>
      </c>
      <c r="CB24" s="161">
        <v>0</v>
      </c>
      <c r="CC24" s="161">
        <v>0</v>
      </c>
      <c r="CD24" s="161">
        <v>0</v>
      </c>
      <c r="CE24" s="161">
        <v>0</v>
      </c>
      <c r="CF24" s="161">
        <v>0</v>
      </c>
      <c r="CG24" s="162">
        <v>0</v>
      </c>
      <c r="CH24" s="165"/>
      <c r="CI24" s="160">
        <v>0</v>
      </c>
      <c r="CJ24" s="161">
        <v>0</v>
      </c>
      <c r="CK24" s="161">
        <v>0</v>
      </c>
      <c r="CL24" s="161">
        <v>0</v>
      </c>
      <c r="CM24" s="161">
        <v>0</v>
      </c>
      <c r="CN24" s="161">
        <v>0</v>
      </c>
      <c r="CO24" s="162">
        <v>0</v>
      </c>
      <c r="CP24" s="165"/>
      <c r="CQ24" s="160">
        <v>0</v>
      </c>
      <c r="CR24" s="161">
        <v>0</v>
      </c>
      <c r="CS24" s="161">
        <v>0</v>
      </c>
      <c r="CT24" s="161">
        <v>0</v>
      </c>
      <c r="CU24" s="161">
        <v>0</v>
      </c>
      <c r="CV24" s="161">
        <v>0</v>
      </c>
      <c r="CW24" s="162">
        <v>0</v>
      </c>
    </row>
    <row r="25" spans="1:101" s="14" customFormat="1" x14ac:dyDescent="0.25">
      <c r="A25" s="95" t="s">
        <v>214</v>
      </c>
      <c r="B25" s="16" t="s">
        <v>17</v>
      </c>
      <c r="C25" s="218"/>
      <c r="D25" s="218"/>
      <c r="E25" s="578">
        <f t="shared" ref="E25" si="8">E20-SUM(E21:E24)</f>
        <v>7221.9500000000007</v>
      </c>
      <c r="F25" s="218"/>
      <c r="G25" s="25">
        <f t="shared" ref="G25:M25" si="9">G20-SUM(G21:G24)</f>
        <v>6358.8240000000005</v>
      </c>
      <c r="H25" s="406">
        <f t="shared" si="9"/>
        <v>11109.954999999998</v>
      </c>
      <c r="I25" s="406">
        <f t="shared" si="9"/>
        <v>17468.778999999988</v>
      </c>
      <c r="J25" s="406">
        <f t="shared" si="9"/>
        <v>9814.6720000000059</v>
      </c>
      <c r="K25" s="406">
        <f t="shared" si="9"/>
        <v>27283.451000000008</v>
      </c>
      <c r="L25" s="406">
        <f t="shared" si="9"/>
        <v>15313.199999999999</v>
      </c>
      <c r="M25" s="21">
        <f t="shared" si="9"/>
        <v>42596.650999999991</v>
      </c>
      <c r="N25" s="218"/>
      <c r="O25" s="25">
        <f t="shared" ref="O25:U25" si="10">O20-SUM(O21:O24)</f>
        <v>4785</v>
      </c>
      <c r="P25" s="406">
        <f t="shared" si="10"/>
        <v>7870</v>
      </c>
      <c r="Q25" s="406">
        <f t="shared" si="10"/>
        <v>12655</v>
      </c>
      <c r="R25" s="406">
        <f t="shared" si="10"/>
        <v>6971</v>
      </c>
      <c r="S25" s="406">
        <f t="shared" si="10"/>
        <v>19626</v>
      </c>
      <c r="T25" s="406">
        <f t="shared" si="10"/>
        <v>11821</v>
      </c>
      <c r="U25" s="406">
        <f t="shared" si="10"/>
        <v>31447</v>
      </c>
      <c r="V25" s="576"/>
      <c r="W25" s="567">
        <v>4493</v>
      </c>
      <c r="X25" s="406">
        <f t="shared" si="0"/>
        <v>7088</v>
      </c>
      <c r="Y25" s="406">
        <v>11581</v>
      </c>
      <c r="Z25" s="406">
        <f t="shared" si="0"/>
        <v>6438</v>
      </c>
      <c r="AA25" s="423">
        <v>18019</v>
      </c>
      <c r="AB25" s="406">
        <f t="shared" si="0"/>
        <v>6833.3729999999996</v>
      </c>
      <c r="AC25" s="21">
        <v>24852.373</v>
      </c>
      <c r="AD25" s="483"/>
      <c r="AE25" s="25">
        <v>3034</v>
      </c>
      <c r="AF25" s="406">
        <f t="shared" si="1"/>
        <v>7954.4509999999937</v>
      </c>
      <c r="AG25" s="406">
        <v>10988.450999999994</v>
      </c>
      <c r="AH25" s="406">
        <f t="shared" si="2"/>
        <v>2794.5490000000063</v>
      </c>
      <c r="AI25" s="406">
        <v>13783</v>
      </c>
      <c r="AJ25" s="406">
        <f t="shared" si="3"/>
        <v>6018</v>
      </c>
      <c r="AK25" s="21">
        <v>19801</v>
      </c>
      <c r="AL25" s="218"/>
      <c r="AM25" s="25">
        <v>4284</v>
      </c>
      <c r="AN25" s="406">
        <v>6578</v>
      </c>
      <c r="AO25" s="406">
        <v>10862</v>
      </c>
      <c r="AP25" s="406">
        <v>4232</v>
      </c>
      <c r="AQ25" s="406">
        <v>15094</v>
      </c>
      <c r="AR25" s="406">
        <f t="shared" si="4"/>
        <v>4783</v>
      </c>
      <c r="AS25" s="21">
        <v>19877</v>
      </c>
      <c r="AT25" s="218"/>
      <c r="AU25" s="25">
        <v>5269</v>
      </c>
      <c r="AV25" s="406">
        <v>3963</v>
      </c>
      <c r="AW25" s="406">
        <v>9232</v>
      </c>
      <c r="AX25" s="406">
        <v>7674</v>
      </c>
      <c r="AY25" s="406">
        <v>16906</v>
      </c>
      <c r="AZ25" s="406">
        <v>8866</v>
      </c>
      <c r="BA25" s="21">
        <v>25772</v>
      </c>
      <c r="BB25" s="218"/>
      <c r="BC25" s="25">
        <v>7982</v>
      </c>
      <c r="BD25" s="20">
        <v>8115</v>
      </c>
      <c r="BE25" s="20">
        <v>16097</v>
      </c>
      <c r="BF25" s="20">
        <v>12725</v>
      </c>
      <c r="BG25" s="20">
        <v>28822</v>
      </c>
      <c r="BH25" s="20">
        <v>15988</v>
      </c>
      <c r="BI25" s="21">
        <v>44810</v>
      </c>
      <c r="BJ25" s="218"/>
      <c r="BK25" s="25">
        <v>4751</v>
      </c>
      <c r="BL25" s="20">
        <v>2728</v>
      </c>
      <c r="BM25" s="20">
        <v>7479</v>
      </c>
      <c r="BN25" s="20">
        <v>11634</v>
      </c>
      <c r="BO25" s="20">
        <v>19113</v>
      </c>
      <c r="BP25" s="20">
        <v>19617</v>
      </c>
      <c r="BQ25" s="21">
        <v>38730</v>
      </c>
      <c r="BR25" s="218"/>
      <c r="BS25" s="25">
        <v>3652</v>
      </c>
      <c r="BT25" s="20">
        <v>5320</v>
      </c>
      <c r="BU25" s="20">
        <v>8972</v>
      </c>
      <c r="BV25" s="20">
        <v>4412</v>
      </c>
      <c r="BW25" s="20">
        <v>13384</v>
      </c>
      <c r="BX25" s="20">
        <v>5810</v>
      </c>
      <c r="BY25" s="21">
        <v>19194</v>
      </c>
      <c r="BZ25" s="218"/>
      <c r="CA25" s="25">
        <v>2412</v>
      </c>
      <c r="CB25" s="20">
        <v>6147</v>
      </c>
      <c r="CC25" s="20">
        <v>8559</v>
      </c>
      <c r="CD25" s="20">
        <v>5536</v>
      </c>
      <c r="CE25" s="20">
        <v>14095</v>
      </c>
      <c r="CF25" s="20">
        <v>4704</v>
      </c>
      <c r="CG25" s="21">
        <v>18799</v>
      </c>
      <c r="CH25" s="26"/>
      <c r="CI25" s="25">
        <v>1656</v>
      </c>
      <c r="CJ25" s="20">
        <v>3923</v>
      </c>
      <c r="CK25" s="20">
        <v>5579</v>
      </c>
      <c r="CL25" s="20">
        <v>2707</v>
      </c>
      <c r="CM25" s="20">
        <v>8286</v>
      </c>
      <c r="CN25" s="20">
        <v>4914</v>
      </c>
      <c r="CO25" s="21">
        <v>13200</v>
      </c>
      <c r="CP25" s="26"/>
      <c r="CQ25" s="25">
        <v>0</v>
      </c>
      <c r="CR25" s="20">
        <v>0</v>
      </c>
      <c r="CS25" s="20">
        <v>0</v>
      </c>
      <c r="CT25" s="20">
        <v>0</v>
      </c>
      <c r="CU25" s="20">
        <v>0</v>
      </c>
      <c r="CV25" s="20">
        <v>-1812</v>
      </c>
      <c r="CW25" s="21">
        <v>-1812</v>
      </c>
    </row>
    <row r="26" spans="1:101" ht="15" customHeight="1" outlineLevel="1" x14ac:dyDescent="0.25">
      <c r="A26" s="95" t="s">
        <v>217</v>
      </c>
      <c r="B26" s="5" t="s">
        <v>18</v>
      </c>
      <c r="C26" s="218"/>
      <c r="D26" s="218"/>
      <c r="E26" s="740">
        <v>-79.293999999999997</v>
      </c>
      <c r="F26" s="218"/>
      <c r="G26" s="569">
        <v>-85.912000000000006</v>
      </c>
      <c r="H26" s="408">
        <v>-78.341999999999985</v>
      </c>
      <c r="I26" s="408">
        <v>-164.25400000000002</v>
      </c>
      <c r="J26" s="408">
        <v>-100.76900000000001</v>
      </c>
      <c r="K26" s="408">
        <v>-265.02300000000002</v>
      </c>
      <c r="L26" s="408">
        <v>-80.433999999999997</v>
      </c>
      <c r="M26" s="29">
        <v>-345.45699999999999</v>
      </c>
      <c r="N26" s="218"/>
      <c r="O26" s="569">
        <v>-160</v>
      </c>
      <c r="P26" s="408">
        <v>-153</v>
      </c>
      <c r="Q26" s="408">
        <v>-313</v>
      </c>
      <c r="R26" s="408">
        <v>-66</v>
      </c>
      <c r="S26" s="408">
        <v>-379</v>
      </c>
      <c r="T26" s="408">
        <v>-152</v>
      </c>
      <c r="U26" s="408">
        <v>-531</v>
      </c>
      <c r="V26" s="576"/>
      <c r="W26" s="569">
        <v>-380</v>
      </c>
      <c r="X26" s="408">
        <f t="shared" si="0"/>
        <v>-194</v>
      </c>
      <c r="Y26" s="408">
        <v>-574</v>
      </c>
      <c r="Z26" s="408">
        <f t="shared" si="0"/>
        <v>-249</v>
      </c>
      <c r="AA26" s="424">
        <v>-823</v>
      </c>
      <c r="AB26" s="408">
        <f t="shared" si="0"/>
        <v>-200.25400000000002</v>
      </c>
      <c r="AC26" s="29">
        <v>-1023.254</v>
      </c>
      <c r="AD26" s="483"/>
      <c r="AE26" s="27">
        <v>-142</v>
      </c>
      <c r="AF26" s="408">
        <f t="shared" si="1"/>
        <v>-355.13600000000713</v>
      </c>
      <c r="AG26" s="408">
        <v>-497.13600000000713</v>
      </c>
      <c r="AH26" s="408">
        <f t="shared" si="2"/>
        <v>-349.86399999999287</v>
      </c>
      <c r="AI26" s="408">
        <v>-847</v>
      </c>
      <c r="AJ26" s="408">
        <f t="shared" si="3"/>
        <v>-432</v>
      </c>
      <c r="AK26" s="29">
        <f>-1310+31</f>
        <v>-1279</v>
      </c>
      <c r="AL26" s="218"/>
      <c r="AM26" s="27">
        <v>57</v>
      </c>
      <c r="AN26" s="408">
        <v>-262</v>
      </c>
      <c r="AO26" s="408">
        <v>-205</v>
      </c>
      <c r="AP26" s="408">
        <v>-340</v>
      </c>
      <c r="AQ26" s="408">
        <v>-545</v>
      </c>
      <c r="AR26" s="408">
        <f t="shared" si="4"/>
        <v>-193</v>
      </c>
      <c r="AS26" s="29">
        <v>-738</v>
      </c>
      <c r="AT26" s="218"/>
      <c r="AU26" s="27">
        <v>-112</v>
      </c>
      <c r="AV26" s="408">
        <v>420</v>
      </c>
      <c r="AW26" s="408">
        <v>308</v>
      </c>
      <c r="AX26" s="408">
        <v>118</v>
      </c>
      <c r="AY26" s="408">
        <v>426</v>
      </c>
      <c r="AZ26" s="408">
        <v>164</v>
      </c>
      <c r="BA26" s="29">
        <v>590</v>
      </c>
      <c r="BB26" s="218"/>
      <c r="BC26" s="27">
        <v>182</v>
      </c>
      <c r="BD26" s="28">
        <v>128</v>
      </c>
      <c r="BE26" s="28">
        <v>310</v>
      </c>
      <c r="BF26" s="28">
        <v>43</v>
      </c>
      <c r="BG26" s="28">
        <v>353</v>
      </c>
      <c r="BH26" s="28">
        <v>-15</v>
      </c>
      <c r="BI26" s="29">
        <v>338</v>
      </c>
      <c r="BJ26" s="218"/>
      <c r="BK26" s="27">
        <v>129</v>
      </c>
      <c r="BL26" s="28">
        <v>312</v>
      </c>
      <c r="BM26" s="28">
        <v>441</v>
      </c>
      <c r="BN26" s="28">
        <v>-90</v>
      </c>
      <c r="BO26" s="28">
        <v>351</v>
      </c>
      <c r="BP26" s="28">
        <v>171</v>
      </c>
      <c r="BQ26" s="29">
        <v>522</v>
      </c>
      <c r="BR26" s="218"/>
      <c r="BS26" s="27">
        <v>275</v>
      </c>
      <c r="BT26" s="28">
        <v>-5</v>
      </c>
      <c r="BU26" s="28">
        <v>270</v>
      </c>
      <c r="BV26" s="28">
        <v>17</v>
      </c>
      <c r="BW26" s="28">
        <v>287</v>
      </c>
      <c r="BX26" s="28">
        <v>-133</v>
      </c>
      <c r="BY26" s="29">
        <v>154</v>
      </c>
      <c r="BZ26" s="218"/>
      <c r="CA26" s="27">
        <v>47</v>
      </c>
      <c r="CB26" s="28">
        <v>243</v>
      </c>
      <c r="CC26" s="28">
        <v>290</v>
      </c>
      <c r="CD26" s="28">
        <v>261</v>
      </c>
      <c r="CE26" s="28">
        <v>551</v>
      </c>
      <c r="CF26" s="28">
        <v>980</v>
      </c>
      <c r="CG26" s="29">
        <v>1531</v>
      </c>
      <c r="CH26" s="26"/>
      <c r="CI26" s="27">
        <v>58</v>
      </c>
      <c r="CJ26" s="28">
        <v>56</v>
      </c>
      <c r="CK26" s="28">
        <v>114</v>
      </c>
      <c r="CL26" s="28">
        <v>56</v>
      </c>
      <c r="CM26" s="28">
        <v>170</v>
      </c>
      <c r="CN26" s="28">
        <v>53</v>
      </c>
      <c r="CO26" s="29">
        <v>223</v>
      </c>
      <c r="CP26" s="26"/>
      <c r="CQ26" s="27">
        <v>0</v>
      </c>
      <c r="CR26" s="22">
        <v>0</v>
      </c>
      <c r="CS26" s="22">
        <v>0</v>
      </c>
      <c r="CT26" s="22">
        <v>0</v>
      </c>
      <c r="CU26" s="22">
        <v>0</v>
      </c>
      <c r="CV26" s="22">
        <v>88</v>
      </c>
      <c r="CW26" s="23">
        <v>88</v>
      </c>
    </row>
    <row r="27" spans="1:101" ht="15" customHeight="1" outlineLevel="1" x14ac:dyDescent="0.25">
      <c r="A27" s="95" t="s">
        <v>215</v>
      </c>
      <c r="B27" s="5" t="s">
        <v>19</v>
      </c>
      <c r="C27" s="218"/>
      <c r="D27" s="218"/>
      <c r="E27" s="740">
        <v>1.4570000000000001</v>
      </c>
      <c r="F27" s="218"/>
      <c r="G27" s="569">
        <v>1E-3</v>
      </c>
      <c r="H27" s="408">
        <v>0.253</v>
      </c>
      <c r="I27" s="408">
        <v>0.254</v>
      </c>
      <c r="J27" s="408">
        <v>0</v>
      </c>
      <c r="K27" s="408">
        <v>0.254</v>
      </c>
      <c r="L27" s="408">
        <v>0</v>
      </c>
      <c r="M27" s="29">
        <v>0.254</v>
      </c>
      <c r="N27" s="218"/>
      <c r="O27" s="569">
        <v>0</v>
      </c>
      <c r="P27" s="408">
        <v>0</v>
      </c>
      <c r="Q27" s="408">
        <v>0</v>
      </c>
      <c r="R27" s="408">
        <v>0</v>
      </c>
      <c r="S27" s="408">
        <v>0</v>
      </c>
      <c r="T27" s="408">
        <v>0</v>
      </c>
      <c r="U27" s="408">
        <v>0</v>
      </c>
      <c r="V27" s="576"/>
      <c r="W27" s="569">
        <v>0</v>
      </c>
      <c r="X27" s="408">
        <f t="shared" si="0"/>
        <v>0</v>
      </c>
      <c r="Y27" s="408">
        <v>0</v>
      </c>
      <c r="Z27" s="408">
        <f t="shared" si="0"/>
        <v>0</v>
      </c>
      <c r="AA27" s="424">
        <v>0</v>
      </c>
      <c r="AB27" s="408">
        <f t="shared" si="0"/>
        <v>0</v>
      </c>
      <c r="AC27" s="29">
        <v>0</v>
      </c>
      <c r="AD27" s="483"/>
      <c r="AE27" s="27">
        <v>0</v>
      </c>
      <c r="AF27" s="408">
        <f t="shared" si="1"/>
        <v>0.255</v>
      </c>
      <c r="AG27" s="408">
        <v>0.255</v>
      </c>
      <c r="AH27" s="408">
        <f t="shared" si="2"/>
        <v>-0.255</v>
      </c>
      <c r="AI27" s="408">
        <v>0</v>
      </c>
      <c r="AJ27" s="408">
        <f t="shared" si="3"/>
        <v>0</v>
      </c>
      <c r="AK27" s="29">
        <v>0</v>
      </c>
      <c r="AL27" s="218"/>
      <c r="AM27" s="27">
        <v>0</v>
      </c>
      <c r="AN27" s="408">
        <v>0</v>
      </c>
      <c r="AO27" s="408">
        <v>0</v>
      </c>
      <c r="AP27" s="408">
        <v>0</v>
      </c>
      <c r="AQ27" s="408">
        <v>0</v>
      </c>
      <c r="AR27" s="408">
        <f t="shared" si="4"/>
        <v>0</v>
      </c>
      <c r="AS27" s="29">
        <v>0</v>
      </c>
      <c r="AT27" s="218"/>
      <c r="AU27" s="27">
        <v>0</v>
      </c>
      <c r="AV27" s="408">
        <v>0</v>
      </c>
      <c r="AW27" s="408">
        <v>0</v>
      </c>
      <c r="AX27" s="408">
        <v>0</v>
      </c>
      <c r="AY27" s="408">
        <v>0</v>
      </c>
      <c r="AZ27" s="408">
        <v>1</v>
      </c>
      <c r="BA27" s="29">
        <v>1</v>
      </c>
      <c r="BB27" s="218"/>
      <c r="BC27" s="27">
        <v>0</v>
      </c>
      <c r="BD27" s="28">
        <v>0</v>
      </c>
      <c r="BE27" s="28">
        <v>0</v>
      </c>
      <c r="BF27" s="28">
        <v>4</v>
      </c>
      <c r="BG27" s="28">
        <v>4</v>
      </c>
      <c r="BH27" s="28">
        <v>0</v>
      </c>
      <c r="BI27" s="29">
        <v>4</v>
      </c>
      <c r="BJ27" s="218"/>
      <c r="BK27" s="27">
        <v>0</v>
      </c>
      <c r="BL27" s="28">
        <v>0</v>
      </c>
      <c r="BM27" s="28">
        <v>0</v>
      </c>
      <c r="BN27" s="28">
        <v>0</v>
      </c>
      <c r="BO27" s="28">
        <v>0</v>
      </c>
      <c r="BP27" s="28">
        <v>1</v>
      </c>
      <c r="BQ27" s="29">
        <v>1</v>
      </c>
      <c r="BR27" s="218"/>
      <c r="BS27" s="27">
        <v>0</v>
      </c>
      <c r="BT27" s="28">
        <v>0</v>
      </c>
      <c r="BU27" s="28">
        <v>0</v>
      </c>
      <c r="BV27" s="28">
        <v>0</v>
      </c>
      <c r="BW27" s="28">
        <v>0</v>
      </c>
      <c r="BX27" s="28">
        <v>0</v>
      </c>
      <c r="BY27" s="29">
        <v>0</v>
      </c>
      <c r="BZ27" s="218"/>
      <c r="CA27" s="27">
        <v>12</v>
      </c>
      <c r="CB27" s="28">
        <v>0</v>
      </c>
      <c r="CC27" s="28">
        <v>12</v>
      </c>
      <c r="CD27" s="28">
        <v>0</v>
      </c>
      <c r="CE27" s="28">
        <v>12</v>
      </c>
      <c r="CF27" s="28">
        <v>0</v>
      </c>
      <c r="CG27" s="29">
        <v>12</v>
      </c>
      <c r="CH27" s="26"/>
      <c r="CI27" s="27">
        <v>0</v>
      </c>
      <c r="CJ27" s="28">
        <v>0</v>
      </c>
      <c r="CK27" s="28">
        <v>0</v>
      </c>
      <c r="CL27" s="28">
        <v>0</v>
      </c>
      <c r="CM27" s="28">
        <v>0</v>
      </c>
      <c r="CN27" s="28">
        <v>0</v>
      </c>
      <c r="CO27" s="29">
        <v>0</v>
      </c>
      <c r="CP27" s="26"/>
      <c r="CQ27" s="27">
        <v>0</v>
      </c>
      <c r="CR27" s="22">
        <v>0</v>
      </c>
      <c r="CS27" s="22">
        <v>0</v>
      </c>
      <c r="CT27" s="22">
        <v>0</v>
      </c>
      <c r="CU27" s="22">
        <v>0</v>
      </c>
      <c r="CV27" s="22">
        <v>0</v>
      </c>
      <c r="CW27" s="23">
        <v>0</v>
      </c>
    </row>
    <row r="28" spans="1:101" ht="15" customHeight="1" outlineLevel="1" x14ac:dyDescent="0.25">
      <c r="A28" s="95" t="s">
        <v>216</v>
      </c>
      <c r="B28" s="5" t="s">
        <v>20</v>
      </c>
      <c r="C28" s="218"/>
      <c r="D28" s="218"/>
      <c r="E28" s="740">
        <v>1121.665</v>
      </c>
      <c r="F28" s="218"/>
      <c r="G28" s="569">
        <v>2269.2950000000001</v>
      </c>
      <c r="H28" s="408">
        <v>2200.6010000000001</v>
      </c>
      <c r="I28" s="408">
        <v>4469.8959999999997</v>
      </c>
      <c r="J28" s="408">
        <v>1991.8420000000001</v>
      </c>
      <c r="K28" s="408">
        <v>6461.7380000000003</v>
      </c>
      <c r="L28" s="408">
        <v>1776.6980000000001</v>
      </c>
      <c r="M28" s="29">
        <v>8238.4359999999997</v>
      </c>
      <c r="N28" s="218"/>
      <c r="O28" s="569">
        <v>3500</v>
      </c>
      <c r="P28" s="408">
        <v>3256</v>
      </c>
      <c r="Q28" s="408">
        <v>6756</v>
      </c>
      <c r="R28" s="408">
        <v>2944</v>
      </c>
      <c r="S28" s="408">
        <v>9700</v>
      </c>
      <c r="T28" s="408">
        <v>2766</v>
      </c>
      <c r="U28" s="408">
        <v>12466</v>
      </c>
      <c r="V28" s="576"/>
      <c r="W28" s="569">
        <v>4470</v>
      </c>
      <c r="X28" s="408">
        <f t="shared" si="0"/>
        <v>4352</v>
      </c>
      <c r="Y28" s="408">
        <v>8822</v>
      </c>
      <c r="Z28" s="408">
        <f t="shared" si="0"/>
        <v>4063</v>
      </c>
      <c r="AA28" s="424">
        <v>12885</v>
      </c>
      <c r="AB28" s="408">
        <f t="shared" si="0"/>
        <v>3768.7520000000004</v>
      </c>
      <c r="AC28" s="29">
        <v>16653.752</v>
      </c>
      <c r="AD28" s="483"/>
      <c r="AE28" s="27">
        <v>4313</v>
      </c>
      <c r="AF28" s="408">
        <f t="shared" si="1"/>
        <v>4361.6440000000002</v>
      </c>
      <c r="AG28" s="408">
        <v>8674.6440000000002</v>
      </c>
      <c r="AH28" s="408">
        <f t="shared" si="2"/>
        <v>4547.3559999999998</v>
      </c>
      <c r="AI28" s="408">
        <v>13222</v>
      </c>
      <c r="AJ28" s="408">
        <f t="shared" si="3"/>
        <v>4931</v>
      </c>
      <c r="AK28" s="29">
        <v>18153</v>
      </c>
      <c r="AL28" s="218"/>
      <c r="AM28" s="27">
        <v>4725</v>
      </c>
      <c r="AN28" s="408">
        <v>4772</v>
      </c>
      <c r="AO28" s="408">
        <v>9497</v>
      </c>
      <c r="AP28" s="408">
        <v>4449</v>
      </c>
      <c r="AQ28" s="408">
        <v>13946</v>
      </c>
      <c r="AR28" s="408">
        <f t="shared" si="4"/>
        <v>4376</v>
      </c>
      <c r="AS28" s="29">
        <v>18322</v>
      </c>
      <c r="AT28" s="218"/>
      <c r="AU28" s="27">
        <v>5011</v>
      </c>
      <c r="AV28" s="408">
        <v>4574</v>
      </c>
      <c r="AW28" s="408">
        <v>9585</v>
      </c>
      <c r="AX28" s="408">
        <v>4602</v>
      </c>
      <c r="AY28" s="408">
        <v>14187</v>
      </c>
      <c r="AZ28" s="408">
        <v>4831</v>
      </c>
      <c r="BA28" s="29">
        <v>19018</v>
      </c>
      <c r="BB28" s="218"/>
      <c r="BC28" s="27">
        <v>5873</v>
      </c>
      <c r="BD28" s="28">
        <v>5700</v>
      </c>
      <c r="BE28" s="28">
        <v>11573</v>
      </c>
      <c r="BF28" s="28">
        <v>5653</v>
      </c>
      <c r="BG28" s="28">
        <v>17226</v>
      </c>
      <c r="BH28" s="28">
        <v>5407</v>
      </c>
      <c r="BI28" s="29">
        <v>22633</v>
      </c>
      <c r="BJ28" s="218"/>
      <c r="BK28" s="27">
        <v>3520</v>
      </c>
      <c r="BL28" s="28">
        <v>5628</v>
      </c>
      <c r="BM28" s="28">
        <v>9148</v>
      </c>
      <c r="BN28" s="28">
        <v>5895</v>
      </c>
      <c r="BO28" s="28">
        <v>15043</v>
      </c>
      <c r="BP28" s="28">
        <v>6131</v>
      </c>
      <c r="BQ28" s="29">
        <v>21174</v>
      </c>
      <c r="BR28" s="218"/>
      <c r="BS28" s="27">
        <v>1210</v>
      </c>
      <c r="BT28" s="28">
        <v>1297</v>
      </c>
      <c r="BU28" s="28">
        <v>2507</v>
      </c>
      <c r="BV28" s="28">
        <v>1208</v>
      </c>
      <c r="BW28" s="28">
        <v>3715</v>
      </c>
      <c r="BX28" s="28">
        <v>1181</v>
      </c>
      <c r="BY28" s="29">
        <v>4896</v>
      </c>
      <c r="BZ28" s="218"/>
      <c r="CA28" s="27">
        <v>1981</v>
      </c>
      <c r="CB28" s="28">
        <v>2023</v>
      </c>
      <c r="CC28" s="28">
        <v>4004</v>
      </c>
      <c r="CD28" s="28">
        <v>1892</v>
      </c>
      <c r="CE28" s="28">
        <v>5896</v>
      </c>
      <c r="CF28" s="28">
        <v>1496</v>
      </c>
      <c r="CG28" s="29">
        <v>7392</v>
      </c>
      <c r="CH28" s="26"/>
      <c r="CI28" s="27">
        <v>1718</v>
      </c>
      <c r="CJ28" s="28">
        <v>1765</v>
      </c>
      <c r="CK28" s="28">
        <v>3483</v>
      </c>
      <c r="CL28" s="28">
        <v>1708</v>
      </c>
      <c r="CM28" s="28">
        <v>5191</v>
      </c>
      <c r="CN28" s="28">
        <v>1657</v>
      </c>
      <c r="CO28" s="29">
        <v>6848</v>
      </c>
      <c r="CP28" s="26"/>
      <c r="CQ28" s="27">
        <v>0</v>
      </c>
      <c r="CR28" s="22">
        <v>0</v>
      </c>
      <c r="CS28" s="22">
        <v>0</v>
      </c>
      <c r="CT28" s="22">
        <v>0</v>
      </c>
      <c r="CU28" s="22">
        <v>0</v>
      </c>
      <c r="CV28" s="22">
        <v>1645</v>
      </c>
      <c r="CW28" s="23">
        <v>1645</v>
      </c>
    </row>
    <row r="29" spans="1:101" ht="17.25" customHeight="1" outlineLevel="1" x14ac:dyDescent="0.4">
      <c r="A29" s="95" t="s">
        <v>218</v>
      </c>
      <c r="B29" s="5" t="s">
        <v>21</v>
      </c>
      <c r="C29" s="218"/>
      <c r="D29" s="218"/>
      <c r="E29" s="741">
        <v>1486.895</v>
      </c>
      <c r="F29" s="218"/>
      <c r="G29" s="571">
        <v>996.84100000000001</v>
      </c>
      <c r="H29" s="410">
        <v>2199.8240000000001</v>
      </c>
      <c r="I29" s="410">
        <v>3196.665</v>
      </c>
      <c r="J29" s="410">
        <v>1926.8879999999999</v>
      </c>
      <c r="K29" s="410">
        <v>5123.5529999999999</v>
      </c>
      <c r="L29" s="410">
        <v>2696.451</v>
      </c>
      <c r="M29" s="33">
        <v>7820.0039999999999</v>
      </c>
      <c r="N29" s="218"/>
      <c r="O29" s="571">
        <v>453</v>
      </c>
      <c r="P29" s="410">
        <v>1202</v>
      </c>
      <c r="Q29" s="410">
        <v>1655</v>
      </c>
      <c r="R29" s="410">
        <v>939</v>
      </c>
      <c r="S29" s="410">
        <v>2594</v>
      </c>
      <c r="T29" s="410">
        <v>2280</v>
      </c>
      <c r="U29" s="410">
        <v>4874</v>
      </c>
      <c r="V29" s="576"/>
      <c r="W29" s="571">
        <v>108</v>
      </c>
      <c r="X29" s="410">
        <f t="shared" si="0"/>
        <v>761</v>
      </c>
      <c r="Y29" s="410">
        <v>869</v>
      </c>
      <c r="Z29" s="410">
        <f t="shared" si="0"/>
        <v>643</v>
      </c>
      <c r="AA29" s="428">
        <v>1512</v>
      </c>
      <c r="AB29" s="410">
        <f t="shared" si="0"/>
        <v>-405.62100000000009</v>
      </c>
      <c r="AC29" s="33">
        <v>1106.3789999999999</v>
      </c>
      <c r="AD29" s="483"/>
      <c r="AE29" s="31">
        <v>-893</v>
      </c>
      <c r="AF29" s="410">
        <f t="shared" si="1"/>
        <v>1163</v>
      </c>
      <c r="AG29" s="410">
        <v>270</v>
      </c>
      <c r="AH29" s="410">
        <f t="shared" si="2"/>
        <v>-1199</v>
      </c>
      <c r="AI29" s="410">
        <v>-929</v>
      </c>
      <c r="AJ29" s="410">
        <f t="shared" si="3"/>
        <v>450</v>
      </c>
      <c r="AK29" s="33">
        <v>-479</v>
      </c>
      <c r="AL29" s="218"/>
      <c r="AM29" s="31">
        <v>-475</v>
      </c>
      <c r="AN29" s="410">
        <v>735</v>
      </c>
      <c r="AO29" s="410">
        <v>260</v>
      </c>
      <c r="AP29" s="410">
        <v>-58</v>
      </c>
      <c r="AQ29" s="410">
        <v>202</v>
      </c>
      <c r="AR29" s="410">
        <f t="shared" si="4"/>
        <v>2407</v>
      </c>
      <c r="AS29" s="33">
        <v>2609</v>
      </c>
      <c r="AT29" s="218"/>
      <c r="AU29" s="31">
        <v>3</v>
      </c>
      <c r="AV29" s="410">
        <v>105</v>
      </c>
      <c r="AW29" s="410">
        <v>108</v>
      </c>
      <c r="AX29" s="410">
        <v>54</v>
      </c>
      <c r="AY29" s="410">
        <v>162</v>
      </c>
      <c r="AZ29" s="410">
        <v>2181</v>
      </c>
      <c r="BA29" s="33">
        <v>2343</v>
      </c>
      <c r="BB29" s="218"/>
      <c r="BC29" s="31">
        <v>481</v>
      </c>
      <c r="BD29" s="32">
        <v>679</v>
      </c>
      <c r="BE29" s="32">
        <v>1160</v>
      </c>
      <c r="BF29" s="32">
        <v>1260</v>
      </c>
      <c r="BG29" s="32">
        <v>2420</v>
      </c>
      <c r="BH29" s="32">
        <v>2968</v>
      </c>
      <c r="BI29" s="33">
        <v>5388</v>
      </c>
      <c r="BJ29" s="218"/>
      <c r="BK29" s="31">
        <v>-443</v>
      </c>
      <c r="BL29" s="32">
        <v>-856</v>
      </c>
      <c r="BM29" s="32">
        <v>-1299</v>
      </c>
      <c r="BN29" s="32">
        <v>2136</v>
      </c>
      <c r="BO29" s="32">
        <v>837</v>
      </c>
      <c r="BP29" s="32">
        <v>3745</v>
      </c>
      <c r="BQ29" s="33">
        <v>4582</v>
      </c>
      <c r="BR29" s="218"/>
      <c r="BS29" s="31">
        <v>711</v>
      </c>
      <c r="BT29" s="32">
        <v>1123</v>
      </c>
      <c r="BU29" s="32">
        <v>1834</v>
      </c>
      <c r="BV29" s="32">
        <v>1200</v>
      </c>
      <c r="BW29" s="32">
        <v>3034</v>
      </c>
      <c r="BX29" s="32">
        <v>398</v>
      </c>
      <c r="BY29" s="33">
        <v>3432</v>
      </c>
      <c r="BZ29" s="218"/>
      <c r="CA29" s="31">
        <v>344</v>
      </c>
      <c r="CB29" s="32">
        <v>1426</v>
      </c>
      <c r="CC29" s="32">
        <v>1770</v>
      </c>
      <c r="CD29" s="32">
        <v>1083</v>
      </c>
      <c r="CE29" s="32">
        <v>2853</v>
      </c>
      <c r="CF29" s="32">
        <v>600</v>
      </c>
      <c r="CG29" s="33">
        <v>3453</v>
      </c>
      <c r="CH29" s="26"/>
      <c r="CI29" s="31">
        <v>-31</v>
      </c>
      <c r="CJ29" s="32">
        <v>850</v>
      </c>
      <c r="CK29" s="32">
        <v>819</v>
      </c>
      <c r="CL29" s="32">
        <v>304</v>
      </c>
      <c r="CM29" s="32">
        <v>1123</v>
      </c>
      <c r="CN29" s="32">
        <v>1227</v>
      </c>
      <c r="CO29" s="33">
        <v>2350</v>
      </c>
      <c r="CP29" s="26"/>
      <c r="CQ29" s="31">
        <v>0</v>
      </c>
      <c r="CR29" s="32">
        <v>0</v>
      </c>
      <c r="CS29" s="32">
        <v>0</v>
      </c>
      <c r="CT29" s="32">
        <v>0</v>
      </c>
      <c r="CU29" s="32">
        <v>0</v>
      </c>
      <c r="CV29" s="32">
        <v>-1537</v>
      </c>
      <c r="CW29" s="33">
        <v>-1537</v>
      </c>
    </row>
    <row r="30" spans="1:101" s="14" customFormat="1" x14ac:dyDescent="0.25">
      <c r="A30" s="95" t="s">
        <v>219</v>
      </c>
      <c r="B30" s="16" t="s">
        <v>24</v>
      </c>
      <c r="C30" s="218"/>
      <c r="D30" s="218"/>
      <c r="E30" s="706">
        <f>E25-SUM(E26:E29)</f>
        <v>4691.2270000000008</v>
      </c>
      <c r="F30" s="218"/>
      <c r="G30" s="567">
        <f>G25-SUM(G26:G29)</f>
        <v>3178.5990000000006</v>
      </c>
      <c r="H30" s="608">
        <f t="shared" ref="H30:M30" si="11">H25-SUM(H26:H29)</f>
        <v>6787.6189999999979</v>
      </c>
      <c r="I30" s="608">
        <f t="shared" si="11"/>
        <v>9966.217999999988</v>
      </c>
      <c r="J30" s="608">
        <f t="shared" si="11"/>
        <v>5996.7110000000057</v>
      </c>
      <c r="K30" s="608">
        <f t="shared" si="11"/>
        <v>15962.929000000007</v>
      </c>
      <c r="L30" s="608">
        <f t="shared" si="11"/>
        <v>10920.484999999999</v>
      </c>
      <c r="M30" s="622">
        <f t="shared" si="11"/>
        <v>26883.41399999999</v>
      </c>
      <c r="N30" s="218"/>
      <c r="O30" s="567">
        <f>O25-SUM(O26:O29)</f>
        <v>992</v>
      </c>
      <c r="P30" s="608">
        <f t="shared" ref="P30:Q30" si="12">P25-SUM(P26:P29)</f>
        <v>3565</v>
      </c>
      <c r="Q30" s="608">
        <f t="shared" si="12"/>
        <v>4557</v>
      </c>
      <c r="R30" s="608">
        <f t="shared" ref="R30:S30" si="13">R25-SUM(R26:R29)</f>
        <v>3154</v>
      </c>
      <c r="S30" s="608">
        <f t="shared" si="13"/>
        <v>7711</v>
      </c>
      <c r="T30" s="608">
        <f t="shared" ref="T30:U30" si="14">T25-SUM(T26:T29)</f>
        <v>6927</v>
      </c>
      <c r="U30" s="608">
        <f t="shared" si="14"/>
        <v>14638</v>
      </c>
      <c r="V30" s="576"/>
      <c r="W30" s="567">
        <v>295</v>
      </c>
      <c r="X30" s="406">
        <f t="shared" si="0"/>
        <v>2169</v>
      </c>
      <c r="Y30" s="406">
        <v>2464</v>
      </c>
      <c r="Z30" s="406">
        <f t="shared" si="0"/>
        <v>1981</v>
      </c>
      <c r="AA30" s="423">
        <v>4445</v>
      </c>
      <c r="AB30" s="406">
        <f t="shared" si="0"/>
        <v>3670.4960000000001</v>
      </c>
      <c r="AC30" s="21">
        <v>8115.4960000000001</v>
      </c>
      <c r="AD30" s="483"/>
      <c r="AE30" s="25">
        <v>-244</v>
      </c>
      <c r="AF30" s="406">
        <f t="shared" si="1"/>
        <v>2784.36</v>
      </c>
      <c r="AG30" s="406">
        <v>2540.36</v>
      </c>
      <c r="AH30" s="406">
        <f t="shared" si="2"/>
        <v>-203.36000000000013</v>
      </c>
      <c r="AI30" s="406">
        <v>2337</v>
      </c>
      <c r="AJ30" s="406">
        <f t="shared" si="3"/>
        <v>1069</v>
      </c>
      <c r="AK30" s="21">
        <f>AK25-SUM(AK26:AK29)</f>
        <v>3406</v>
      </c>
      <c r="AL30" s="218"/>
      <c r="AM30" s="25">
        <v>-23</v>
      </c>
      <c r="AN30" s="406">
        <v>1333</v>
      </c>
      <c r="AO30" s="406">
        <v>1310</v>
      </c>
      <c r="AP30" s="406">
        <v>181</v>
      </c>
      <c r="AQ30" s="406">
        <v>1491</v>
      </c>
      <c r="AR30" s="406">
        <f t="shared" si="4"/>
        <v>-1807</v>
      </c>
      <c r="AS30" s="21">
        <v>-316</v>
      </c>
      <c r="AT30" s="218"/>
      <c r="AU30" s="25">
        <v>367</v>
      </c>
      <c r="AV30" s="406">
        <v>-1136</v>
      </c>
      <c r="AW30" s="406">
        <v>-769</v>
      </c>
      <c r="AX30" s="406">
        <v>2900</v>
      </c>
      <c r="AY30" s="406">
        <v>2131</v>
      </c>
      <c r="AZ30" s="406">
        <v>1689</v>
      </c>
      <c r="BA30" s="21">
        <v>3820</v>
      </c>
      <c r="BB30" s="218"/>
      <c r="BC30" s="25">
        <v>1446</v>
      </c>
      <c r="BD30" s="20">
        <v>1608</v>
      </c>
      <c r="BE30" s="20">
        <v>3054</v>
      </c>
      <c r="BF30" s="20">
        <v>5765</v>
      </c>
      <c r="BG30" s="20">
        <v>8819</v>
      </c>
      <c r="BH30" s="20">
        <v>7628</v>
      </c>
      <c r="BI30" s="21">
        <v>16447</v>
      </c>
      <c r="BJ30" s="218"/>
      <c r="BK30" s="25">
        <v>1545</v>
      </c>
      <c r="BL30" s="20">
        <v>-2356</v>
      </c>
      <c r="BM30" s="20">
        <v>-811</v>
      </c>
      <c r="BN30" s="20">
        <v>3693</v>
      </c>
      <c r="BO30" s="20">
        <v>2882</v>
      </c>
      <c r="BP30" s="20">
        <v>9569</v>
      </c>
      <c r="BQ30" s="21">
        <v>12451</v>
      </c>
      <c r="BR30" s="218"/>
      <c r="BS30" s="25">
        <v>1456</v>
      </c>
      <c r="BT30" s="20">
        <v>2905</v>
      </c>
      <c r="BU30" s="20">
        <v>4361</v>
      </c>
      <c r="BV30" s="20">
        <v>1987</v>
      </c>
      <c r="BW30" s="20">
        <v>6348</v>
      </c>
      <c r="BX30" s="20">
        <v>4364</v>
      </c>
      <c r="BY30" s="21">
        <v>10712</v>
      </c>
      <c r="BZ30" s="218"/>
      <c r="CA30" s="25">
        <v>28</v>
      </c>
      <c r="CB30" s="20">
        <v>2455</v>
      </c>
      <c r="CC30" s="20">
        <v>2483</v>
      </c>
      <c r="CD30" s="20">
        <v>2300</v>
      </c>
      <c r="CE30" s="20">
        <v>4783</v>
      </c>
      <c r="CF30" s="20">
        <v>1628</v>
      </c>
      <c r="CG30" s="21">
        <v>6411</v>
      </c>
      <c r="CH30" s="26"/>
      <c r="CI30" s="25">
        <v>-89</v>
      </c>
      <c r="CJ30" s="20">
        <v>1252</v>
      </c>
      <c r="CK30" s="20">
        <v>1163</v>
      </c>
      <c r="CL30" s="20">
        <v>639</v>
      </c>
      <c r="CM30" s="20">
        <v>1802</v>
      </c>
      <c r="CN30" s="20">
        <v>1977</v>
      </c>
      <c r="CO30" s="21">
        <v>3779</v>
      </c>
      <c r="CP30" s="26"/>
      <c r="CQ30" s="25">
        <v>0</v>
      </c>
      <c r="CR30" s="20">
        <v>0</v>
      </c>
      <c r="CS30" s="20">
        <v>0</v>
      </c>
      <c r="CT30" s="20">
        <v>0</v>
      </c>
      <c r="CU30" s="20">
        <v>0</v>
      </c>
      <c r="CV30" s="20">
        <v>-2008</v>
      </c>
      <c r="CW30" s="21">
        <v>-2008</v>
      </c>
    </row>
    <row r="31" spans="1:101" ht="15" customHeight="1" outlineLevel="1" x14ac:dyDescent="0.25">
      <c r="A31" s="95"/>
      <c r="B31" s="34" t="s">
        <v>54</v>
      </c>
      <c r="C31" s="218"/>
      <c r="D31" s="218"/>
      <c r="E31" s="740"/>
      <c r="F31" s="218"/>
      <c r="G31" s="569"/>
      <c r="H31" s="408"/>
      <c r="I31" s="408"/>
      <c r="J31" s="408"/>
      <c r="K31" s="408"/>
      <c r="L31" s="408"/>
      <c r="M31" s="29"/>
      <c r="N31" s="218"/>
      <c r="O31" s="569"/>
      <c r="P31" s="408"/>
      <c r="Q31" s="408"/>
      <c r="R31" s="408"/>
      <c r="S31" s="408"/>
      <c r="T31" s="408"/>
      <c r="U31" s="408"/>
      <c r="V31" s="576"/>
      <c r="W31" s="569"/>
      <c r="X31" s="408">
        <f t="shared" si="0"/>
        <v>0</v>
      </c>
      <c r="Y31" s="408"/>
      <c r="Z31" s="408">
        <f t="shared" si="0"/>
        <v>0</v>
      </c>
      <c r="AA31" s="423"/>
      <c r="AB31" s="408">
        <f t="shared" si="0"/>
        <v>0</v>
      </c>
      <c r="AC31" s="29"/>
      <c r="AD31" s="483"/>
      <c r="AE31" s="27"/>
      <c r="AF31" s="408">
        <f t="shared" si="1"/>
        <v>0</v>
      </c>
      <c r="AG31" s="408"/>
      <c r="AH31" s="408">
        <f t="shared" si="2"/>
        <v>0</v>
      </c>
      <c r="AI31" s="408"/>
      <c r="AJ31" s="408">
        <f t="shared" si="3"/>
        <v>0</v>
      </c>
      <c r="AK31" s="29">
        <v>0</v>
      </c>
      <c r="AL31" s="218"/>
      <c r="AM31" s="27"/>
      <c r="AN31" s="408"/>
      <c r="AO31" s="408"/>
      <c r="AP31" s="408"/>
      <c r="AQ31" s="408"/>
      <c r="AR31" s="408"/>
      <c r="AS31" s="29"/>
      <c r="AT31" s="218"/>
      <c r="AU31" s="27"/>
      <c r="AV31" s="408"/>
      <c r="AW31" s="408"/>
      <c r="AX31" s="408"/>
      <c r="AY31" s="408"/>
      <c r="AZ31" s="408"/>
      <c r="BA31" s="29"/>
      <c r="BB31" s="218"/>
      <c r="BC31" s="27"/>
      <c r="BD31" s="28"/>
      <c r="BE31" s="28"/>
      <c r="BF31" s="28"/>
      <c r="BG31" s="28"/>
      <c r="BH31" s="28"/>
      <c r="BI31" s="29"/>
      <c r="BJ31" s="218"/>
      <c r="BK31" s="27"/>
      <c r="BL31" s="28"/>
      <c r="BM31" s="28"/>
      <c r="BN31" s="28"/>
      <c r="BO31" s="28"/>
      <c r="BP31" s="28"/>
      <c r="BQ31" s="29"/>
      <c r="BR31" s="218"/>
      <c r="BS31" s="27"/>
      <c r="BT31" s="28"/>
      <c r="BU31" s="28"/>
      <c r="BV31" s="28"/>
      <c r="BW31" s="28"/>
      <c r="BX31" s="28"/>
      <c r="BY31" s="29"/>
      <c r="BZ31" s="218"/>
      <c r="CA31" s="27"/>
      <c r="CB31" s="28"/>
      <c r="CC31" s="28"/>
      <c r="CD31" s="28"/>
      <c r="CE31" s="28"/>
      <c r="CF31" s="28"/>
      <c r="CG31" s="29"/>
      <c r="CH31" s="26"/>
      <c r="CI31" s="27"/>
      <c r="CJ31" s="28"/>
      <c r="CK31" s="28"/>
      <c r="CL31" s="28"/>
      <c r="CM31" s="28"/>
      <c r="CN31" s="28"/>
      <c r="CO31" s="29"/>
      <c r="CP31" s="26"/>
      <c r="CQ31" s="27"/>
      <c r="CR31" s="36"/>
      <c r="CS31" s="36"/>
      <c r="CT31" s="36"/>
      <c r="CU31" s="22"/>
      <c r="CV31" s="36"/>
      <c r="CW31" s="37"/>
    </row>
    <row r="32" spans="1:101" ht="15" customHeight="1" outlineLevel="1" x14ac:dyDescent="0.25">
      <c r="A32" s="95" t="s">
        <v>21</v>
      </c>
      <c r="B32" s="5" t="s">
        <v>21</v>
      </c>
      <c r="C32" s="218"/>
      <c r="D32" s="218"/>
      <c r="E32" s="740">
        <f>E29</f>
        <v>1486.895</v>
      </c>
      <c r="F32" s="218"/>
      <c r="G32" s="569">
        <f>G29</f>
        <v>996.84100000000001</v>
      </c>
      <c r="H32" s="609">
        <f t="shared" ref="H32:M32" si="15">H29</f>
        <v>2199.8240000000001</v>
      </c>
      <c r="I32" s="609">
        <f t="shared" si="15"/>
        <v>3196.665</v>
      </c>
      <c r="J32" s="609">
        <f t="shared" si="15"/>
        <v>1926.8879999999999</v>
      </c>
      <c r="K32" s="609">
        <f t="shared" si="15"/>
        <v>5123.5529999999999</v>
      </c>
      <c r="L32" s="609">
        <f t="shared" si="15"/>
        <v>2696.451</v>
      </c>
      <c r="M32" s="623">
        <f t="shared" si="15"/>
        <v>7820.0039999999999</v>
      </c>
      <c r="N32" s="218"/>
      <c r="O32" s="569">
        <f>O29</f>
        <v>453</v>
      </c>
      <c r="P32" s="609">
        <f t="shared" ref="P32:Q32" si="16">P29</f>
        <v>1202</v>
      </c>
      <c r="Q32" s="609">
        <f t="shared" si="16"/>
        <v>1655</v>
      </c>
      <c r="R32" s="609">
        <f t="shared" ref="R32:S32" si="17">R29</f>
        <v>939</v>
      </c>
      <c r="S32" s="609">
        <f t="shared" si="17"/>
        <v>2594</v>
      </c>
      <c r="T32" s="609">
        <f t="shared" ref="T32:U32" si="18">T29</f>
        <v>2280</v>
      </c>
      <c r="U32" s="609">
        <f t="shared" si="18"/>
        <v>4874</v>
      </c>
      <c r="V32" s="576"/>
      <c r="W32" s="569">
        <v>108</v>
      </c>
      <c r="X32" s="408">
        <f t="shared" si="0"/>
        <v>761</v>
      </c>
      <c r="Y32" s="408">
        <v>869</v>
      </c>
      <c r="Z32" s="408">
        <f t="shared" si="0"/>
        <v>643</v>
      </c>
      <c r="AA32" s="424">
        <v>1512</v>
      </c>
      <c r="AB32" s="408">
        <f t="shared" si="0"/>
        <v>-406</v>
      </c>
      <c r="AC32" s="29">
        <v>1106</v>
      </c>
      <c r="AD32" s="483"/>
      <c r="AE32" s="27">
        <v>-893</v>
      </c>
      <c r="AF32" s="408">
        <f t="shared" si="1"/>
        <v>1163</v>
      </c>
      <c r="AG32" s="408">
        <v>270</v>
      </c>
      <c r="AH32" s="408">
        <f t="shared" si="2"/>
        <v>-1199</v>
      </c>
      <c r="AI32" s="408">
        <v>-929</v>
      </c>
      <c r="AJ32" s="408">
        <f t="shared" si="3"/>
        <v>449</v>
      </c>
      <c r="AK32" s="29">
        <v>-480</v>
      </c>
      <c r="AL32" s="218"/>
      <c r="AM32" s="27">
        <v>-475</v>
      </c>
      <c r="AN32" s="408">
        <v>735</v>
      </c>
      <c r="AO32" s="408">
        <v>260</v>
      </c>
      <c r="AP32" s="408">
        <v>-58</v>
      </c>
      <c r="AQ32" s="408">
        <v>202</v>
      </c>
      <c r="AR32" s="408">
        <f t="shared" si="4"/>
        <v>2407</v>
      </c>
      <c r="AS32" s="29">
        <v>2609</v>
      </c>
      <c r="AT32" s="218"/>
      <c r="AU32" s="27">
        <v>3</v>
      </c>
      <c r="AV32" s="408">
        <v>105</v>
      </c>
      <c r="AW32" s="408">
        <v>108</v>
      </c>
      <c r="AX32" s="408">
        <v>54</v>
      </c>
      <c r="AY32" s="408">
        <v>162</v>
      </c>
      <c r="AZ32" s="408">
        <v>2181</v>
      </c>
      <c r="BA32" s="29">
        <v>2343</v>
      </c>
      <c r="BB32" s="218"/>
      <c r="BC32" s="27">
        <v>481</v>
      </c>
      <c r="BD32" s="28">
        <v>679</v>
      </c>
      <c r="BE32" s="28">
        <v>1160</v>
      </c>
      <c r="BF32" s="28">
        <v>1260</v>
      </c>
      <c r="BG32" s="28">
        <v>2420</v>
      </c>
      <c r="BH32" s="28">
        <v>2968</v>
      </c>
      <c r="BI32" s="29">
        <v>5388</v>
      </c>
      <c r="BJ32" s="218"/>
      <c r="BK32" s="27">
        <v>-443</v>
      </c>
      <c r="BL32" s="28">
        <v>-856</v>
      </c>
      <c r="BM32" s="28">
        <v>-1299</v>
      </c>
      <c r="BN32" s="28">
        <v>2136</v>
      </c>
      <c r="BO32" s="28">
        <v>837</v>
      </c>
      <c r="BP32" s="28">
        <v>3745</v>
      </c>
      <c r="BQ32" s="29">
        <v>4582</v>
      </c>
      <c r="BR32" s="218"/>
      <c r="BS32" s="27">
        <v>711</v>
      </c>
      <c r="BT32" s="28">
        <v>1123</v>
      </c>
      <c r="BU32" s="28">
        <v>1834</v>
      </c>
      <c r="BV32" s="28">
        <v>1200</v>
      </c>
      <c r="BW32" s="28">
        <v>3034</v>
      </c>
      <c r="BX32" s="28">
        <v>398</v>
      </c>
      <c r="BY32" s="29">
        <v>3432</v>
      </c>
      <c r="BZ32" s="218"/>
      <c r="CA32" s="27">
        <v>344</v>
      </c>
      <c r="CB32" s="28">
        <v>1426</v>
      </c>
      <c r="CC32" s="28">
        <v>1770</v>
      </c>
      <c r="CD32" s="28">
        <v>1083</v>
      </c>
      <c r="CE32" s="28">
        <v>2853</v>
      </c>
      <c r="CF32" s="28">
        <v>600</v>
      </c>
      <c r="CG32" s="29">
        <v>3453</v>
      </c>
      <c r="CH32" s="26"/>
      <c r="CI32" s="27">
        <v>-31</v>
      </c>
      <c r="CJ32" s="28">
        <v>850</v>
      </c>
      <c r="CK32" s="28">
        <v>819</v>
      </c>
      <c r="CL32" s="28">
        <v>304</v>
      </c>
      <c r="CM32" s="28">
        <v>1123</v>
      </c>
      <c r="CN32" s="28">
        <v>1227</v>
      </c>
      <c r="CO32" s="29">
        <v>2350</v>
      </c>
      <c r="CP32" s="26"/>
      <c r="CQ32" s="27">
        <v>0</v>
      </c>
      <c r="CR32" s="22">
        <v>0</v>
      </c>
      <c r="CS32" s="22">
        <v>0</v>
      </c>
      <c r="CT32" s="22">
        <v>0</v>
      </c>
      <c r="CU32" s="22">
        <v>0</v>
      </c>
      <c r="CV32" s="22">
        <v>-1537</v>
      </c>
      <c r="CW32" s="23">
        <v>-1537</v>
      </c>
    </row>
    <row r="33" spans="1:101" ht="15" customHeight="1" outlineLevel="1" x14ac:dyDescent="0.25">
      <c r="A33" s="95" t="s">
        <v>195</v>
      </c>
      <c r="B33" s="5" t="s">
        <v>19</v>
      </c>
      <c r="C33" s="218"/>
      <c r="D33" s="218"/>
      <c r="E33" s="740">
        <f>E27</f>
        <v>1.4570000000000001</v>
      </c>
      <c r="F33" s="218"/>
      <c r="G33" s="569">
        <f>G27</f>
        <v>1E-3</v>
      </c>
      <c r="H33" s="609">
        <f t="shared" ref="H33:M33" si="19">H27</f>
        <v>0.253</v>
      </c>
      <c r="I33" s="609">
        <f t="shared" si="19"/>
        <v>0.254</v>
      </c>
      <c r="J33" s="609">
        <f t="shared" si="19"/>
        <v>0</v>
      </c>
      <c r="K33" s="609">
        <f t="shared" si="19"/>
        <v>0.254</v>
      </c>
      <c r="L33" s="609">
        <f t="shared" si="19"/>
        <v>0</v>
      </c>
      <c r="M33" s="623">
        <f t="shared" si="19"/>
        <v>0.254</v>
      </c>
      <c r="N33" s="218"/>
      <c r="O33" s="569">
        <f>O27</f>
        <v>0</v>
      </c>
      <c r="P33" s="609">
        <f t="shared" ref="P33:Q33" si="20">P27</f>
        <v>0</v>
      </c>
      <c r="Q33" s="609">
        <f t="shared" si="20"/>
        <v>0</v>
      </c>
      <c r="R33" s="609">
        <f t="shared" ref="R33:S33" si="21">R27</f>
        <v>0</v>
      </c>
      <c r="S33" s="609">
        <f t="shared" si="21"/>
        <v>0</v>
      </c>
      <c r="T33" s="609">
        <f t="shared" ref="T33:U33" si="22">T27</f>
        <v>0</v>
      </c>
      <c r="U33" s="609">
        <f t="shared" si="22"/>
        <v>0</v>
      </c>
      <c r="V33" s="576"/>
      <c r="W33" s="569">
        <v>0</v>
      </c>
      <c r="X33" s="408">
        <f t="shared" si="0"/>
        <v>0</v>
      </c>
      <c r="Y33" s="408">
        <v>0</v>
      </c>
      <c r="Z33" s="408">
        <f t="shared" si="0"/>
        <v>0</v>
      </c>
      <c r="AA33" s="424">
        <v>0</v>
      </c>
      <c r="AB33" s="408">
        <f t="shared" si="0"/>
        <v>0</v>
      </c>
      <c r="AC33" s="29">
        <v>0</v>
      </c>
      <c r="AD33" s="483"/>
      <c r="AE33" s="27">
        <v>0</v>
      </c>
      <c r="AF33" s="408">
        <f t="shared" si="1"/>
        <v>0.255</v>
      </c>
      <c r="AG33" s="408">
        <v>0.255</v>
      </c>
      <c r="AH33" s="408">
        <f t="shared" si="2"/>
        <v>-0.255</v>
      </c>
      <c r="AI33" s="408">
        <v>0</v>
      </c>
      <c r="AJ33" s="408">
        <f t="shared" si="3"/>
        <v>0</v>
      </c>
      <c r="AK33" s="29">
        <v>0</v>
      </c>
      <c r="AL33" s="218"/>
      <c r="AM33" s="27">
        <v>0</v>
      </c>
      <c r="AN33" s="408">
        <v>0</v>
      </c>
      <c r="AO33" s="408">
        <v>0</v>
      </c>
      <c r="AP33" s="408">
        <v>0</v>
      </c>
      <c r="AQ33" s="408">
        <v>0</v>
      </c>
      <c r="AR33" s="408">
        <f t="shared" si="4"/>
        <v>0</v>
      </c>
      <c r="AS33" s="29">
        <v>0</v>
      </c>
      <c r="AT33" s="218"/>
      <c r="AU33" s="27">
        <v>0</v>
      </c>
      <c r="AV33" s="408">
        <v>0</v>
      </c>
      <c r="AW33" s="408">
        <v>0</v>
      </c>
      <c r="AX33" s="408">
        <v>0</v>
      </c>
      <c r="AY33" s="408">
        <v>0</v>
      </c>
      <c r="AZ33" s="408">
        <v>1</v>
      </c>
      <c r="BA33" s="29">
        <v>1</v>
      </c>
      <c r="BB33" s="218"/>
      <c r="BC33" s="27">
        <v>0</v>
      </c>
      <c r="BD33" s="28">
        <v>0</v>
      </c>
      <c r="BE33" s="28">
        <v>0</v>
      </c>
      <c r="BF33" s="28">
        <v>4</v>
      </c>
      <c r="BG33" s="28">
        <v>4</v>
      </c>
      <c r="BH33" s="28">
        <v>0</v>
      </c>
      <c r="BI33" s="29">
        <v>4</v>
      </c>
      <c r="BJ33" s="218"/>
      <c r="BK33" s="27">
        <v>0</v>
      </c>
      <c r="BL33" s="28">
        <v>0</v>
      </c>
      <c r="BM33" s="28">
        <v>0</v>
      </c>
      <c r="BN33" s="28">
        <v>0</v>
      </c>
      <c r="BO33" s="28">
        <v>0</v>
      </c>
      <c r="BP33" s="28">
        <v>1</v>
      </c>
      <c r="BQ33" s="29">
        <v>1</v>
      </c>
      <c r="BR33" s="218"/>
      <c r="BS33" s="27">
        <v>0</v>
      </c>
      <c r="BT33" s="28">
        <v>0</v>
      </c>
      <c r="BU33" s="28">
        <v>0</v>
      </c>
      <c r="BV33" s="28">
        <v>0</v>
      </c>
      <c r="BW33" s="28">
        <v>0</v>
      </c>
      <c r="BX33" s="28">
        <v>0</v>
      </c>
      <c r="BY33" s="29">
        <v>0</v>
      </c>
      <c r="BZ33" s="218"/>
      <c r="CA33" s="27">
        <v>12</v>
      </c>
      <c r="CB33" s="28">
        <v>0</v>
      </c>
      <c r="CC33" s="28">
        <v>12</v>
      </c>
      <c r="CD33" s="28">
        <v>0</v>
      </c>
      <c r="CE33" s="28">
        <v>12</v>
      </c>
      <c r="CF33" s="28">
        <v>0</v>
      </c>
      <c r="CG33" s="29">
        <v>12</v>
      </c>
      <c r="CH33" s="26"/>
      <c r="CI33" s="27">
        <v>0</v>
      </c>
      <c r="CJ33" s="28">
        <v>0</v>
      </c>
      <c r="CK33" s="28">
        <v>0</v>
      </c>
      <c r="CL33" s="28">
        <v>0</v>
      </c>
      <c r="CM33" s="28">
        <v>0</v>
      </c>
      <c r="CN33" s="28">
        <v>0</v>
      </c>
      <c r="CO33" s="29">
        <v>0</v>
      </c>
      <c r="CP33" s="26"/>
      <c r="CQ33" s="27">
        <v>0</v>
      </c>
      <c r="CR33" s="22">
        <v>0</v>
      </c>
      <c r="CS33" s="22">
        <v>0</v>
      </c>
      <c r="CT33" s="22">
        <v>0</v>
      </c>
      <c r="CU33" s="22">
        <v>0</v>
      </c>
      <c r="CV33" s="22">
        <v>0</v>
      </c>
      <c r="CW33" s="23">
        <v>0</v>
      </c>
    </row>
    <row r="34" spans="1:101" ht="15" customHeight="1" outlineLevel="1" x14ac:dyDescent="0.25">
      <c r="A34" s="95" t="s">
        <v>95</v>
      </c>
      <c r="B34" s="5" t="s">
        <v>20</v>
      </c>
      <c r="C34" s="218"/>
      <c r="D34" s="218"/>
      <c r="E34" s="740">
        <f>E28</f>
        <v>1121.665</v>
      </c>
      <c r="F34" s="218"/>
      <c r="G34" s="569">
        <f>G28</f>
        <v>2269.2950000000001</v>
      </c>
      <c r="H34" s="609">
        <f t="shared" ref="H34:M34" si="23">H28</f>
        <v>2200.6010000000001</v>
      </c>
      <c r="I34" s="609">
        <f t="shared" si="23"/>
        <v>4469.8959999999997</v>
      </c>
      <c r="J34" s="609">
        <f t="shared" si="23"/>
        <v>1991.8420000000001</v>
      </c>
      <c r="K34" s="609">
        <f t="shared" si="23"/>
        <v>6461.7380000000003</v>
      </c>
      <c r="L34" s="609">
        <f t="shared" si="23"/>
        <v>1776.6980000000001</v>
      </c>
      <c r="M34" s="623">
        <f t="shared" si="23"/>
        <v>8238.4359999999997</v>
      </c>
      <c r="N34" s="218"/>
      <c r="O34" s="569">
        <f>O28</f>
        <v>3500</v>
      </c>
      <c r="P34" s="609">
        <f t="shared" ref="P34:Q34" si="24">P28</f>
        <v>3256</v>
      </c>
      <c r="Q34" s="609">
        <f t="shared" si="24"/>
        <v>6756</v>
      </c>
      <c r="R34" s="609">
        <f t="shared" ref="R34:S34" si="25">R28</f>
        <v>2944</v>
      </c>
      <c r="S34" s="609">
        <f t="shared" si="25"/>
        <v>9700</v>
      </c>
      <c r="T34" s="609">
        <f t="shared" ref="T34:U34" si="26">T28</f>
        <v>2766</v>
      </c>
      <c r="U34" s="609">
        <f t="shared" si="26"/>
        <v>12466</v>
      </c>
      <c r="V34" s="576"/>
      <c r="W34" s="569">
        <v>4470</v>
      </c>
      <c r="X34" s="408">
        <f t="shared" si="0"/>
        <v>4352</v>
      </c>
      <c r="Y34" s="408">
        <v>8822</v>
      </c>
      <c r="Z34" s="408">
        <f t="shared" si="0"/>
        <v>4063</v>
      </c>
      <c r="AA34" s="424">
        <v>12885</v>
      </c>
      <c r="AB34" s="408">
        <f t="shared" si="0"/>
        <v>3768.7520000000004</v>
      </c>
      <c r="AC34" s="29">
        <v>16653.752</v>
      </c>
      <c r="AD34" s="483"/>
      <c r="AE34" s="27">
        <v>4313</v>
      </c>
      <c r="AF34" s="408">
        <f t="shared" si="1"/>
        <v>4361.6440000000002</v>
      </c>
      <c r="AG34" s="408">
        <v>8674.6440000000002</v>
      </c>
      <c r="AH34" s="408">
        <f t="shared" si="2"/>
        <v>4547.3559999999998</v>
      </c>
      <c r="AI34" s="408">
        <v>13222</v>
      </c>
      <c r="AJ34" s="408">
        <f t="shared" si="3"/>
        <v>4931</v>
      </c>
      <c r="AK34" s="29">
        <v>18153</v>
      </c>
      <c r="AL34" s="218"/>
      <c r="AM34" s="27">
        <v>4725</v>
      </c>
      <c r="AN34" s="408">
        <v>4772</v>
      </c>
      <c r="AO34" s="408">
        <v>9497</v>
      </c>
      <c r="AP34" s="408">
        <v>4449</v>
      </c>
      <c r="AQ34" s="408">
        <v>13946</v>
      </c>
      <c r="AR34" s="408">
        <f t="shared" si="4"/>
        <v>4376</v>
      </c>
      <c r="AS34" s="29">
        <v>18322</v>
      </c>
      <c r="AT34" s="218"/>
      <c r="AU34" s="27">
        <v>5011</v>
      </c>
      <c r="AV34" s="408">
        <v>4574</v>
      </c>
      <c r="AW34" s="408">
        <v>9585</v>
      </c>
      <c r="AX34" s="408">
        <v>4603</v>
      </c>
      <c r="AY34" s="408">
        <v>14188</v>
      </c>
      <c r="AZ34" s="408">
        <v>4830</v>
      </c>
      <c r="BA34" s="29">
        <v>19018</v>
      </c>
      <c r="BB34" s="218"/>
      <c r="BC34" s="27">
        <v>5873</v>
      </c>
      <c r="BD34" s="28">
        <v>5701</v>
      </c>
      <c r="BE34" s="28">
        <v>11574</v>
      </c>
      <c r="BF34" s="28">
        <v>5652</v>
      </c>
      <c r="BG34" s="28">
        <v>17226</v>
      </c>
      <c r="BH34" s="28">
        <v>5407</v>
      </c>
      <c r="BI34" s="29">
        <v>22633</v>
      </c>
      <c r="BJ34" s="218"/>
      <c r="BK34" s="27">
        <v>3520</v>
      </c>
      <c r="BL34" s="28">
        <v>5628</v>
      </c>
      <c r="BM34" s="28">
        <v>9148</v>
      </c>
      <c r="BN34" s="28">
        <v>5895</v>
      </c>
      <c r="BO34" s="28">
        <v>15043</v>
      </c>
      <c r="BP34" s="28">
        <v>6131</v>
      </c>
      <c r="BQ34" s="29">
        <v>21174</v>
      </c>
      <c r="BR34" s="218"/>
      <c r="BS34" s="27">
        <v>1210</v>
      </c>
      <c r="BT34" s="28">
        <v>1297</v>
      </c>
      <c r="BU34" s="28">
        <v>2507</v>
      </c>
      <c r="BV34" s="28">
        <v>1208</v>
      </c>
      <c r="BW34" s="28">
        <v>3715</v>
      </c>
      <c r="BX34" s="28">
        <v>1181</v>
      </c>
      <c r="BY34" s="29">
        <v>4896</v>
      </c>
      <c r="BZ34" s="218"/>
      <c r="CA34" s="27">
        <v>1981</v>
      </c>
      <c r="CB34" s="28">
        <v>2023</v>
      </c>
      <c r="CC34" s="28">
        <v>4004</v>
      </c>
      <c r="CD34" s="28">
        <v>1892</v>
      </c>
      <c r="CE34" s="28">
        <v>5896</v>
      </c>
      <c r="CF34" s="28">
        <v>1496</v>
      </c>
      <c r="CG34" s="29">
        <v>7392</v>
      </c>
      <c r="CH34" s="26"/>
      <c r="CI34" s="27">
        <v>1718</v>
      </c>
      <c r="CJ34" s="28">
        <v>1765</v>
      </c>
      <c r="CK34" s="28">
        <v>3483</v>
      </c>
      <c r="CL34" s="28">
        <v>1708</v>
      </c>
      <c r="CM34" s="28">
        <v>5191</v>
      </c>
      <c r="CN34" s="28">
        <v>1657</v>
      </c>
      <c r="CO34" s="29">
        <v>6848</v>
      </c>
      <c r="CP34" s="26"/>
      <c r="CQ34" s="27">
        <v>0</v>
      </c>
      <c r="CR34" s="22">
        <v>0</v>
      </c>
      <c r="CS34" s="22">
        <v>0</v>
      </c>
      <c r="CT34" s="22">
        <v>0</v>
      </c>
      <c r="CU34" s="22">
        <v>0</v>
      </c>
      <c r="CV34" s="22">
        <v>1645</v>
      </c>
      <c r="CW34" s="23">
        <v>1645</v>
      </c>
    </row>
    <row r="35" spans="1:101" ht="15" customHeight="1" outlineLevel="1" x14ac:dyDescent="0.25">
      <c r="A35" s="95" t="s">
        <v>96</v>
      </c>
      <c r="B35" s="5" t="s">
        <v>55</v>
      </c>
      <c r="C35" s="218"/>
      <c r="D35" s="218"/>
      <c r="E35" s="742">
        <v>3500</v>
      </c>
      <c r="F35" s="218"/>
      <c r="G35" s="624">
        <v>3462</v>
      </c>
      <c r="H35" s="542">
        <v>3495</v>
      </c>
      <c r="I35" s="542">
        <v>6957</v>
      </c>
      <c r="J35" s="542">
        <v>3522</v>
      </c>
      <c r="K35" s="542">
        <v>10479</v>
      </c>
      <c r="L35" s="542">
        <v>3782</v>
      </c>
      <c r="M35" s="632">
        <v>14261</v>
      </c>
      <c r="N35" s="218"/>
      <c r="O35" s="569">
        <v>4921</v>
      </c>
      <c r="P35" s="408">
        <v>4940</v>
      </c>
      <c r="Q35" s="408">
        <v>9861</v>
      </c>
      <c r="R35" s="408">
        <v>4946</v>
      </c>
      <c r="S35" s="408">
        <v>14807</v>
      </c>
      <c r="T35" s="408">
        <f>U35-S35</f>
        <v>3608</v>
      </c>
      <c r="U35" s="408">
        <v>18415</v>
      </c>
      <c r="V35" s="576"/>
      <c r="W35" s="569">
        <v>4914</v>
      </c>
      <c r="X35" s="408">
        <f t="shared" si="0"/>
        <v>4893</v>
      </c>
      <c r="Y35" s="408">
        <v>9807</v>
      </c>
      <c r="Z35" s="408">
        <f t="shared" si="0"/>
        <v>4871</v>
      </c>
      <c r="AA35" s="424">
        <v>14678</v>
      </c>
      <c r="AB35" s="408">
        <f t="shared" si="0"/>
        <v>4863.1179999999986</v>
      </c>
      <c r="AC35" s="29">
        <v>19541.117999999999</v>
      </c>
      <c r="AD35" s="483"/>
      <c r="AE35" s="27">
        <v>5003</v>
      </c>
      <c r="AF35" s="408">
        <f t="shared" si="1"/>
        <v>4974</v>
      </c>
      <c r="AG35" s="542">
        <f>10203-226</f>
        <v>9977</v>
      </c>
      <c r="AH35" s="408">
        <f t="shared" si="2"/>
        <v>4957</v>
      </c>
      <c r="AI35" s="542">
        <v>14934</v>
      </c>
      <c r="AJ35" s="408">
        <f t="shared" si="3"/>
        <v>4908</v>
      </c>
      <c r="AK35" s="29">
        <f>20293-451</f>
        <v>19842</v>
      </c>
      <c r="AL35" s="218"/>
      <c r="AM35" s="27">
        <v>5185</v>
      </c>
      <c r="AN35" s="408">
        <v>5181</v>
      </c>
      <c r="AO35" s="408">
        <v>10366</v>
      </c>
      <c r="AP35" s="408">
        <v>5609</v>
      </c>
      <c r="AQ35" s="408">
        <v>15975</v>
      </c>
      <c r="AR35" s="408">
        <f t="shared" si="4"/>
        <v>6943</v>
      </c>
      <c r="AS35" s="29">
        <v>22918</v>
      </c>
      <c r="AT35" s="218"/>
      <c r="AU35" s="27">
        <v>5623</v>
      </c>
      <c r="AV35" s="408">
        <v>5641</v>
      </c>
      <c r="AW35" s="408">
        <v>11264</v>
      </c>
      <c r="AX35" s="408">
        <v>5649</v>
      </c>
      <c r="AY35" s="408">
        <v>16913</v>
      </c>
      <c r="AZ35" s="408">
        <v>5146</v>
      </c>
      <c r="BA35" s="29">
        <v>22059</v>
      </c>
      <c r="BB35" s="218"/>
      <c r="BC35" s="27">
        <v>5372</v>
      </c>
      <c r="BD35" s="28">
        <v>5545</v>
      </c>
      <c r="BE35" s="28">
        <v>10917</v>
      </c>
      <c r="BF35" s="28">
        <v>5538</v>
      </c>
      <c r="BG35" s="28">
        <v>16455</v>
      </c>
      <c r="BH35" s="28">
        <v>5580</v>
      </c>
      <c r="BI35" s="29">
        <v>22035</v>
      </c>
      <c r="BJ35" s="218"/>
      <c r="BK35" s="27">
        <v>2899</v>
      </c>
      <c r="BL35" s="28">
        <v>10971</v>
      </c>
      <c r="BM35" s="28">
        <v>13870</v>
      </c>
      <c r="BN35" s="28">
        <v>7584</v>
      </c>
      <c r="BO35" s="28">
        <v>21454</v>
      </c>
      <c r="BP35" s="28">
        <v>5515</v>
      </c>
      <c r="BQ35" s="29">
        <v>26969</v>
      </c>
      <c r="BR35" s="218"/>
      <c r="BS35" s="27">
        <v>2947</v>
      </c>
      <c r="BT35" s="28">
        <v>2893</v>
      </c>
      <c r="BU35" s="28">
        <v>5840</v>
      </c>
      <c r="BV35" s="28">
        <v>2873</v>
      </c>
      <c r="BW35" s="28">
        <v>8713</v>
      </c>
      <c r="BX35" s="28">
        <v>2860</v>
      </c>
      <c r="BY35" s="29">
        <v>11573</v>
      </c>
      <c r="BZ35" s="218"/>
      <c r="CA35" s="27">
        <v>3460</v>
      </c>
      <c r="CB35" s="28">
        <v>2571</v>
      </c>
      <c r="CC35" s="28">
        <v>6031</v>
      </c>
      <c r="CD35" s="28">
        <v>2396</v>
      </c>
      <c r="CE35" s="28">
        <v>8427</v>
      </c>
      <c r="CF35" s="28">
        <v>3131</v>
      </c>
      <c r="CG35" s="29">
        <v>11558</v>
      </c>
      <c r="CH35" s="26"/>
      <c r="CI35" s="27">
        <v>1464</v>
      </c>
      <c r="CJ35" s="28">
        <v>2156</v>
      </c>
      <c r="CK35" s="28">
        <v>3620</v>
      </c>
      <c r="CL35" s="28">
        <v>2155</v>
      </c>
      <c r="CM35" s="28">
        <v>5775</v>
      </c>
      <c r="CN35" s="28">
        <v>2188</v>
      </c>
      <c r="CO35" s="29">
        <v>7963</v>
      </c>
      <c r="CP35" s="26"/>
      <c r="CQ35" s="27">
        <v>0</v>
      </c>
      <c r="CR35" s="36">
        <v>0</v>
      </c>
      <c r="CS35" s="36">
        <v>0</v>
      </c>
      <c r="CT35" s="36">
        <v>0</v>
      </c>
      <c r="CU35" s="22">
        <v>0</v>
      </c>
      <c r="CV35" s="36">
        <v>4642</v>
      </c>
      <c r="CW35" s="37">
        <v>4642</v>
      </c>
    </row>
    <row r="36" spans="1:101" s="163" customFormat="1" ht="15" customHeight="1" outlineLevel="1" x14ac:dyDescent="0.4">
      <c r="A36" s="95" t="s">
        <v>220</v>
      </c>
      <c r="B36" s="5" t="s">
        <v>56</v>
      </c>
      <c r="C36" s="218"/>
      <c r="D36" s="218"/>
      <c r="E36" s="743">
        <v>14</v>
      </c>
      <c r="F36" s="218"/>
      <c r="G36" s="628">
        <v>14</v>
      </c>
      <c r="H36" s="613">
        <v>15</v>
      </c>
      <c r="I36" s="613">
        <v>29</v>
      </c>
      <c r="J36" s="613">
        <v>14</v>
      </c>
      <c r="K36" s="613">
        <v>43</v>
      </c>
      <c r="L36" s="613">
        <v>15</v>
      </c>
      <c r="M36" s="633">
        <v>58</v>
      </c>
      <c r="N36" s="218"/>
      <c r="O36" s="570">
        <v>14</v>
      </c>
      <c r="P36" s="409">
        <v>15</v>
      </c>
      <c r="Q36" s="409">
        <v>29</v>
      </c>
      <c r="R36" s="409">
        <v>14</v>
      </c>
      <c r="S36" s="409">
        <v>43</v>
      </c>
      <c r="T36" s="409">
        <f>U36-S36</f>
        <v>15</v>
      </c>
      <c r="U36" s="409">
        <v>58</v>
      </c>
      <c r="V36" s="576"/>
      <c r="W36" s="570">
        <v>113</v>
      </c>
      <c r="X36" s="409">
        <f t="shared" si="0"/>
        <v>112</v>
      </c>
      <c r="Y36" s="409">
        <v>225</v>
      </c>
      <c r="Z36" s="409">
        <f t="shared" si="0"/>
        <v>113</v>
      </c>
      <c r="AA36" s="425">
        <v>338</v>
      </c>
      <c r="AB36" s="409">
        <f t="shared" si="0"/>
        <v>79.882000000000005</v>
      </c>
      <c r="AC36" s="162">
        <v>417.88200000000001</v>
      </c>
      <c r="AD36" s="483"/>
      <c r="AE36" s="160">
        <v>113</v>
      </c>
      <c r="AF36" s="409">
        <f t="shared" si="1"/>
        <v>112.30000000000001</v>
      </c>
      <c r="AG36" s="409">
        <v>225.3</v>
      </c>
      <c r="AH36" s="410">
        <f t="shared" si="2"/>
        <v>112.69999999999999</v>
      </c>
      <c r="AI36" s="409">
        <v>338</v>
      </c>
      <c r="AJ36" s="409">
        <f t="shared" si="3"/>
        <v>113</v>
      </c>
      <c r="AK36" s="162">
        <v>451</v>
      </c>
      <c r="AL36" s="218"/>
      <c r="AM36" s="160">
        <v>113</v>
      </c>
      <c r="AN36" s="409">
        <v>112</v>
      </c>
      <c r="AO36" s="409">
        <v>225</v>
      </c>
      <c r="AP36" s="409">
        <v>113</v>
      </c>
      <c r="AQ36" s="409">
        <v>338</v>
      </c>
      <c r="AR36" s="409">
        <f t="shared" si="4"/>
        <v>113</v>
      </c>
      <c r="AS36" s="162">
        <v>451</v>
      </c>
      <c r="AT36" s="218"/>
      <c r="AU36" s="160">
        <v>113</v>
      </c>
      <c r="AV36" s="409">
        <v>112</v>
      </c>
      <c r="AW36" s="409">
        <v>225</v>
      </c>
      <c r="AX36" s="409">
        <v>113</v>
      </c>
      <c r="AY36" s="409">
        <v>338</v>
      </c>
      <c r="AZ36" s="409">
        <v>113</v>
      </c>
      <c r="BA36" s="162">
        <v>451</v>
      </c>
      <c r="BB36" s="218"/>
      <c r="BC36" s="160">
        <v>113</v>
      </c>
      <c r="BD36" s="161">
        <v>112</v>
      </c>
      <c r="BE36" s="161">
        <v>225</v>
      </c>
      <c r="BF36" s="161">
        <v>113</v>
      </c>
      <c r="BG36" s="161">
        <v>338</v>
      </c>
      <c r="BH36" s="161">
        <v>113</v>
      </c>
      <c r="BI36" s="162">
        <v>451</v>
      </c>
      <c r="BJ36" s="218"/>
      <c r="BK36" s="160">
        <v>89</v>
      </c>
      <c r="BL36" s="161">
        <v>108</v>
      </c>
      <c r="BM36" s="161">
        <v>197</v>
      </c>
      <c r="BN36" s="161">
        <v>107</v>
      </c>
      <c r="BO36" s="161">
        <v>304</v>
      </c>
      <c r="BP36" s="161">
        <v>112</v>
      </c>
      <c r="BQ36" s="162">
        <v>416</v>
      </c>
      <c r="BR36" s="218"/>
      <c r="BS36" s="160">
        <v>266</v>
      </c>
      <c r="BT36" s="161">
        <v>4</v>
      </c>
      <c r="BU36" s="161">
        <v>270</v>
      </c>
      <c r="BV36" s="161">
        <v>12</v>
      </c>
      <c r="BW36" s="161">
        <v>282</v>
      </c>
      <c r="BX36" s="161">
        <v>13</v>
      </c>
      <c r="BY36" s="162">
        <v>295</v>
      </c>
      <c r="BZ36" s="218"/>
      <c r="CA36" s="160">
        <v>52</v>
      </c>
      <c r="CB36" s="161">
        <v>74</v>
      </c>
      <c r="CC36" s="161">
        <v>126</v>
      </c>
      <c r="CD36" s="161">
        <v>64</v>
      </c>
      <c r="CE36" s="161">
        <v>190</v>
      </c>
      <c r="CF36" s="161">
        <v>841</v>
      </c>
      <c r="CG36" s="162">
        <v>1031</v>
      </c>
      <c r="CH36" s="165"/>
      <c r="CI36" s="160">
        <v>59</v>
      </c>
      <c r="CJ36" s="161">
        <v>56</v>
      </c>
      <c r="CK36" s="161">
        <v>115</v>
      </c>
      <c r="CL36" s="161">
        <v>55</v>
      </c>
      <c r="CM36" s="161">
        <v>170</v>
      </c>
      <c r="CN36" s="161">
        <v>53</v>
      </c>
      <c r="CO36" s="162">
        <v>223</v>
      </c>
      <c r="CP36" s="165"/>
      <c r="CQ36" s="160">
        <v>0</v>
      </c>
      <c r="CR36" s="192">
        <v>0</v>
      </c>
      <c r="CS36" s="192">
        <v>0</v>
      </c>
      <c r="CT36" s="192">
        <v>0</v>
      </c>
      <c r="CU36" s="161">
        <v>0</v>
      </c>
      <c r="CV36" s="192">
        <v>65</v>
      </c>
      <c r="CW36" s="193">
        <v>65</v>
      </c>
    </row>
    <row r="37" spans="1:101" s="14" customFormat="1" x14ac:dyDescent="0.25">
      <c r="A37" s="95" t="s">
        <v>57</v>
      </c>
      <c r="B37" s="16" t="s">
        <v>57</v>
      </c>
      <c r="C37" s="218"/>
      <c r="D37" s="218"/>
      <c r="E37" s="705">
        <f>SUM(E30:E36)</f>
        <v>10815.244000000002</v>
      </c>
      <c r="F37" s="218"/>
      <c r="G37" s="567">
        <f>SUM(G30:G36)</f>
        <v>9920.7360000000008</v>
      </c>
      <c r="H37" s="608">
        <f t="shared" ref="H37:M37" si="27">SUM(H30:H36)</f>
        <v>14698.296999999999</v>
      </c>
      <c r="I37" s="608">
        <f t="shared" si="27"/>
        <v>24619.032999999989</v>
      </c>
      <c r="J37" s="608">
        <f t="shared" si="27"/>
        <v>13451.441000000006</v>
      </c>
      <c r="K37" s="608">
        <f t="shared" si="27"/>
        <v>38070.474000000009</v>
      </c>
      <c r="L37" s="608">
        <f t="shared" si="27"/>
        <v>19190.633999999998</v>
      </c>
      <c r="M37" s="622">
        <f t="shared" si="27"/>
        <v>57261.107999999993</v>
      </c>
      <c r="N37" s="218"/>
      <c r="O37" s="567">
        <f>SUM(O30:O36)</f>
        <v>9880</v>
      </c>
      <c r="P37" s="608">
        <f t="shared" ref="P37:Q37" si="28">SUM(P30:P36)</f>
        <v>12978</v>
      </c>
      <c r="Q37" s="608">
        <f t="shared" si="28"/>
        <v>22858</v>
      </c>
      <c r="R37" s="608">
        <f t="shared" ref="R37:S37" si="29">SUM(R30:R36)</f>
        <v>11997</v>
      </c>
      <c r="S37" s="608">
        <f t="shared" si="29"/>
        <v>34855</v>
      </c>
      <c r="T37" s="608">
        <f t="shared" ref="T37:U37" si="30">SUM(T30:T36)</f>
        <v>15596</v>
      </c>
      <c r="U37" s="608">
        <f t="shared" si="30"/>
        <v>50451</v>
      </c>
      <c r="V37" s="576"/>
      <c r="W37" s="567">
        <v>9900</v>
      </c>
      <c r="X37" s="406">
        <f t="shared" si="0"/>
        <v>12287</v>
      </c>
      <c r="Y37" s="406">
        <v>22187</v>
      </c>
      <c r="Z37" s="406">
        <f t="shared" si="0"/>
        <v>11671</v>
      </c>
      <c r="AA37" s="423">
        <v>33858</v>
      </c>
      <c r="AB37" s="406">
        <f t="shared" si="0"/>
        <v>11975.752</v>
      </c>
      <c r="AC37" s="21">
        <v>45833.752</v>
      </c>
      <c r="AD37" s="483"/>
      <c r="AE37" s="25">
        <v>8292</v>
      </c>
      <c r="AF37" s="406">
        <f t="shared" si="1"/>
        <v>13395.558999999997</v>
      </c>
      <c r="AG37" s="406">
        <f>SUM(AG30:AG36)</f>
        <v>21687.558999999997</v>
      </c>
      <c r="AH37" s="406">
        <f t="shared" si="2"/>
        <v>8214.4410000000025</v>
      </c>
      <c r="AI37" s="406">
        <v>29902</v>
      </c>
      <c r="AJ37" s="406">
        <f t="shared" si="3"/>
        <v>11470</v>
      </c>
      <c r="AK37" s="21">
        <v>41372</v>
      </c>
      <c r="AL37" s="218"/>
      <c r="AM37" s="25">
        <v>9525</v>
      </c>
      <c r="AN37" s="406">
        <v>12133</v>
      </c>
      <c r="AO37" s="406">
        <v>21658</v>
      </c>
      <c r="AP37" s="406">
        <v>10294</v>
      </c>
      <c r="AQ37" s="406">
        <v>31952</v>
      </c>
      <c r="AR37" s="406">
        <f t="shared" si="4"/>
        <v>12032</v>
      </c>
      <c r="AS37" s="21">
        <v>43984</v>
      </c>
      <c r="AT37" s="218"/>
      <c r="AU37" s="25">
        <v>11117</v>
      </c>
      <c r="AV37" s="406">
        <v>9296</v>
      </c>
      <c r="AW37" s="406">
        <v>20413</v>
      </c>
      <c r="AX37" s="406">
        <v>13319</v>
      </c>
      <c r="AY37" s="406">
        <v>33732</v>
      </c>
      <c r="AZ37" s="406">
        <v>13960</v>
      </c>
      <c r="BA37" s="21">
        <v>47692</v>
      </c>
      <c r="BB37" s="218"/>
      <c r="BC37" s="25">
        <v>13285</v>
      </c>
      <c r="BD37" s="20">
        <v>13645</v>
      </c>
      <c r="BE37" s="20">
        <v>26930</v>
      </c>
      <c r="BF37" s="20">
        <v>18332</v>
      </c>
      <c r="BG37" s="20">
        <v>45262</v>
      </c>
      <c r="BH37" s="20">
        <v>21696</v>
      </c>
      <c r="BI37" s="21">
        <v>66958</v>
      </c>
      <c r="BJ37" s="218"/>
      <c r="BK37" s="25">
        <v>7610</v>
      </c>
      <c r="BL37" s="20">
        <v>13495</v>
      </c>
      <c r="BM37" s="20">
        <v>21105</v>
      </c>
      <c r="BN37" s="20">
        <v>19415</v>
      </c>
      <c r="BO37" s="20">
        <v>40520</v>
      </c>
      <c r="BP37" s="20">
        <v>25073</v>
      </c>
      <c r="BQ37" s="21">
        <v>65593</v>
      </c>
      <c r="BR37" s="218"/>
      <c r="BS37" s="25">
        <v>6590</v>
      </c>
      <c r="BT37" s="20">
        <v>8222</v>
      </c>
      <c r="BU37" s="20">
        <v>14812</v>
      </c>
      <c r="BV37" s="20">
        <v>7280</v>
      </c>
      <c r="BW37" s="20">
        <v>22092</v>
      </c>
      <c r="BX37" s="20">
        <v>8816</v>
      </c>
      <c r="BY37" s="21">
        <v>30908</v>
      </c>
      <c r="BZ37" s="218"/>
      <c r="CA37" s="25">
        <v>5877</v>
      </c>
      <c r="CB37" s="20">
        <v>8549</v>
      </c>
      <c r="CC37" s="20">
        <v>14426</v>
      </c>
      <c r="CD37" s="20">
        <v>7735</v>
      </c>
      <c r="CE37" s="20">
        <v>22161</v>
      </c>
      <c r="CF37" s="20">
        <v>7696</v>
      </c>
      <c r="CG37" s="21">
        <v>29857</v>
      </c>
      <c r="CH37" s="26"/>
      <c r="CI37" s="25">
        <v>3121</v>
      </c>
      <c r="CJ37" s="20">
        <v>6079</v>
      </c>
      <c r="CK37" s="20">
        <v>9200</v>
      </c>
      <c r="CL37" s="20">
        <v>4861</v>
      </c>
      <c r="CM37" s="20">
        <v>14061</v>
      </c>
      <c r="CN37" s="20">
        <v>7102</v>
      </c>
      <c r="CO37" s="21">
        <v>21163</v>
      </c>
      <c r="CP37" s="26"/>
      <c r="CQ37" s="25">
        <v>0</v>
      </c>
      <c r="CR37" s="20">
        <v>0</v>
      </c>
      <c r="CS37" s="20">
        <v>0</v>
      </c>
      <c r="CT37" s="20">
        <v>0</v>
      </c>
      <c r="CU37" s="20">
        <v>0</v>
      </c>
      <c r="CV37" s="20">
        <v>2807</v>
      </c>
      <c r="CW37" s="21">
        <v>2807</v>
      </c>
    </row>
    <row r="38" spans="1:101" ht="15" customHeight="1" outlineLevel="1" x14ac:dyDescent="0.25">
      <c r="A38" s="4" t="s">
        <v>233</v>
      </c>
      <c r="B38" s="5" t="s">
        <v>58</v>
      </c>
      <c r="C38" s="218"/>
      <c r="D38" s="218"/>
      <c r="E38" s="742"/>
      <c r="F38" s="218"/>
      <c r="G38" s="569"/>
      <c r="H38" s="408"/>
      <c r="I38" s="408"/>
      <c r="J38" s="408"/>
      <c r="K38" s="408"/>
      <c r="L38" s="408"/>
      <c r="M38" s="29"/>
      <c r="N38" s="218"/>
      <c r="O38" s="569"/>
      <c r="P38" s="408"/>
      <c r="Q38" s="408"/>
      <c r="R38" s="408"/>
      <c r="S38" s="408"/>
      <c r="T38" s="408"/>
      <c r="U38" s="408"/>
      <c r="V38" s="576"/>
      <c r="W38" s="569"/>
      <c r="X38" s="408">
        <f t="shared" si="0"/>
        <v>0</v>
      </c>
      <c r="Y38" s="408"/>
      <c r="Z38" s="408">
        <f t="shared" si="0"/>
        <v>0</v>
      </c>
      <c r="AA38" s="424"/>
      <c r="AB38" s="408">
        <f t="shared" si="0"/>
        <v>0</v>
      </c>
      <c r="AC38" s="29"/>
      <c r="AD38" s="483"/>
      <c r="AE38" s="27">
        <v>0</v>
      </c>
      <c r="AF38" s="408">
        <f t="shared" si="1"/>
        <v>0</v>
      </c>
      <c r="AG38" s="408"/>
      <c r="AH38" s="408">
        <f t="shared" si="2"/>
        <v>0</v>
      </c>
      <c r="AI38" s="408"/>
      <c r="AJ38" s="408">
        <f t="shared" si="3"/>
        <v>0</v>
      </c>
      <c r="AK38" s="29">
        <v>0</v>
      </c>
      <c r="AL38" s="218"/>
      <c r="AM38" s="27">
        <v>0</v>
      </c>
      <c r="AN38" s="408">
        <v>0</v>
      </c>
      <c r="AO38" s="408">
        <v>0</v>
      </c>
      <c r="AP38" s="408">
        <v>0</v>
      </c>
      <c r="AQ38" s="408">
        <v>0</v>
      </c>
      <c r="AR38" s="408">
        <f t="shared" si="4"/>
        <v>0</v>
      </c>
      <c r="AS38" s="29">
        <v>0</v>
      </c>
      <c r="AT38" s="218"/>
      <c r="AU38" s="27">
        <v>0</v>
      </c>
      <c r="AV38" s="408">
        <v>0</v>
      </c>
      <c r="AW38" s="408">
        <v>0</v>
      </c>
      <c r="AX38" s="408">
        <v>0</v>
      </c>
      <c r="AY38" s="408">
        <v>0</v>
      </c>
      <c r="AZ38" s="408">
        <v>0</v>
      </c>
      <c r="BA38" s="29">
        <v>0</v>
      </c>
      <c r="BB38" s="218"/>
      <c r="BC38" s="27">
        <v>0</v>
      </c>
      <c r="BD38" s="28">
        <v>0</v>
      </c>
      <c r="BE38" s="28">
        <v>0</v>
      </c>
      <c r="BF38" s="28">
        <v>0</v>
      </c>
      <c r="BG38" s="28">
        <v>0</v>
      </c>
      <c r="BH38" s="28">
        <v>0</v>
      </c>
      <c r="BI38" s="29">
        <v>0</v>
      </c>
      <c r="BJ38" s="218"/>
      <c r="BK38" s="27">
        <v>0</v>
      </c>
      <c r="BL38" s="28">
        <v>0</v>
      </c>
      <c r="BM38" s="28">
        <v>0</v>
      </c>
      <c r="BN38" s="28">
        <v>0</v>
      </c>
      <c r="BO38" s="28">
        <v>0</v>
      </c>
      <c r="BP38" s="28">
        <v>19</v>
      </c>
      <c r="BQ38" s="29">
        <v>19</v>
      </c>
      <c r="BR38" s="218"/>
      <c r="BS38" s="27">
        <v>0</v>
      </c>
      <c r="BT38" s="28">
        <v>455</v>
      </c>
      <c r="BU38" s="28">
        <v>455</v>
      </c>
      <c r="BV38" s="28">
        <v>31</v>
      </c>
      <c r="BW38" s="28">
        <v>486</v>
      </c>
      <c r="BX38" s="28">
        <v>-270</v>
      </c>
      <c r="BY38" s="29">
        <v>216</v>
      </c>
      <c r="BZ38" s="218"/>
      <c r="CA38" s="27">
        <v>0</v>
      </c>
      <c r="CB38" s="28">
        <v>0</v>
      </c>
      <c r="CC38" s="28">
        <v>0</v>
      </c>
      <c r="CD38" s="28">
        <v>0</v>
      </c>
      <c r="CE38" s="28">
        <v>0</v>
      </c>
      <c r="CF38" s="28">
        <v>0</v>
      </c>
      <c r="CG38" s="29">
        <v>0</v>
      </c>
      <c r="CH38" s="26"/>
      <c r="CI38" s="27">
        <v>0</v>
      </c>
      <c r="CJ38" s="28">
        <v>0</v>
      </c>
      <c r="CK38" s="28">
        <v>0</v>
      </c>
      <c r="CL38" s="28">
        <v>0</v>
      </c>
      <c r="CM38" s="28">
        <v>0</v>
      </c>
      <c r="CN38" s="28">
        <v>0</v>
      </c>
      <c r="CO38" s="29">
        <v>0</v>
      </c>
      <c r="CP38" s="26"/>
      <c r="CQ38" s="27">
        <v>0</v>
      </c>
      <c r="CR38" s="36">
        <v>0</v>
      </c>
      <c r="CS38" s="36">
        <v>0</v>
      </c>
      <c r="CT38" s="36">
        <v>0</v>
      </c>
      <c r="CU38" s="22">
        <v>0</v>
      </c>
      <c r="CV38" s="36">
        <v>0</v>
      </c>
      <c r="CW38" s="37">
        <v>0</v>
      </c>
    </row>
    <row r="39" spans="1:101" ht="15" customHeight="1" outlineLevel="1" x14ac:dyDescent="0.25">
      <c r="A39" s="95" t="s">
        <v>59</v>
      </c>
      <c r="B39" s="5" t="s">
        <v>59</v>
      </c>
      <c r="C39" s="218"/>
      <c r="D39" s="218"/>
      <c r="E39" s="742">
        <v>207</v>
      </c>
      <c r="F39" s="218"/>
      <c r="G39" s="624">
        <v>277</v>
      </c>
      <c r="H39" s="542">
        <f>I39-G39</f>
        <v>272</v>
      </c>
      <c r="I39" s="542">
        <v>549</v>
      </c>
      <c r="J39" s="542">
        <f>K39-I39</f>
        <v>269</v>
      </c>
      <c r="K39" s="542">
        <v>818</v>
      </c>
      <c r="L39" s="542">
        <f>M39-K39</f>
        <v>340</v>
      </c>
      <c r="M39" s="632">
        <v>1158</v>
      </c>
      <c r="N39" s="218"/>
      <c r="O39" s="569">
        <v>329</v>
      </c>
      <c r="P39" s="408">
        <v>-210</v>
      </c>
      <c r="Q39" s="408">
        <v>119</v>
      </c>
      <c r="R39" s="408">
        <v>235</v>
      </c>
      <c r="S39" s="408">
        <v>354</v>
      </c>
      <c r="T39" s="408">
        <f>U39-S39</f>
        <v>277</v>
      </c>
      <c r="U39" s="408">
        <v>631</v>
      </c>
      <c r="V39" s="576"/>
      <c r="W39" s="569">
        <v>171</v>
      </c>
      <c r="X39" s="408">
        <f t="shared" si="0"/>
        <v>151</v>
      </c>
      <c r="Y39" s="408">
        <v>322</v>
      </c>
      <c r="Z39" s="408">
        <f t="shared" si="0"/>
        <v>240</v>
      </c>
      <c r="AA39" s="424">
        <v>562</v>
      </c>
      <c r="AB39" s="408">
        <f t="shared" si="0"/>
        <v>298</v>
      </c>
      <c r="AC39" s="29">
        <v>860</v>
      </c>
      <c r="AD39" s="483"/>
      <c r="AE39" s="27">
        <v>174</v>
      </c>
      <c r="AF39" s="408">
        <f t="shared" si="1"/>
        <v>240</v>
      </c>
      <c r="AG39" s="408">
        <v>414</v>
      </c>
      <c r="AH39" s="408">
        <f t="shared" si="2"/>
        <v>232.71199999999999</v>
      </c>
      <c r="AI39" s="408">
        <v>646.71199999999999</v>
      </c>
      <c r="AJ39" s="408">
        <f t="shared" si="3"/>
        <v>197.26400000000001</v>
      </c>
      <c r="AK39" s="29">
        <v>843.976</v>
      </c>
      <c r="AL39" s="218"/>
      <c r="AM39" s="27">
        <v>254</v>
      </c>
      <c r="AN39" s="408">
        <v>329</v>
      </c>
      <c r="AO39" s="408">
        <v>583</v>
      </c>
      <c r="AP39" s="408">
        <v>330</v>
      </c>
      <c r="AQ39" s="408">
        <v>913</v>
      </c>
      <c r="AR39" s="408">
        <f t="shared" si="4"/>
        <v>329</v>
      </c>
      <c r="AS39" s="29">
        <v>1242</v>
      </c>
      <c r="AT39" s="218"/>
      <c r="AU39" s="27">
        <v>278</v>
      </c>
      <c r="AV39" s="408">
        <v>148</v>
      </c>
      <c r="AW39" s="408">
        <v>426</v>
      </c>
      <c r="AX39" s="408">
        <v>225</v>
      </c>
      <c r="AY39" s="408">
        <v>651</v>
      </c>
      <c r="AZ39" s="408">
        <v>515</v>
      </c>
      <c r="BA39" s="29">
        <v>1166</v>
      </c>
      <c r="BB39" s="218"/>
      <c r="BC39" s="27">
        <v>420</v>
      </c>
      <c r="BD39" s="28">
        <v>55</v>
      </c>
      <c r="BE39" s="28">
        <v>475</v>
      </c>
      <c r="BF39" s="28">
        <v>391</v>
      </c>
      <c r="BG39" s="28">
        <v>866</v>
      </c>
      <c r="BH39" s="28">
        <v>317</v>
      </c>
      <c r="BI39" s="29">
        <v>1183</v>
      </c>
      <c r="BJ39" s="218"/>
      <c r="BK39" s="27">
        <v>541</v>
      </c>
      <c r="BL39" s="28">
        <v>500</v>
      </c>
      <c r="BM39" s="28">
        <v>1041</v>
      </c>
      <c r="BN39" s="28">
        <v>455</v>
      </c>
      <c r="BO39" s="28">
        <v>1496</v>
      </c>
      <c r="BP39" s="28">
        <v>405</v>
      </c>
      <c r="BQ39" s="29">
        <v>1901</v>
      </c>
      <c r="BR39" s="218"/>
      <c r="BS39" s="27">
        <v>185</v>
      </c>
      <c r="BT39" s="28">
        <v>185</v>
      </c>
      <c r="BU39" s="28">
        <v>370</v>
      </c>
      <c r="BV39" s="28">
        <v>185</v>
      </c>
      <c r="BW39" s="28">
        <v>555</v>
      </c>
      <c r="BX39" s="28">
        <v>185</v>
      </c>
      <c r="BY39" s="29">
        <v>740</v>
      </c>
      <c r="BZ39" s="218"/>
      <c r="CA39" s="27">
        <v>134</v>
      </c>
      <c r="CB39" s="28">
        <v>153</v>
      </c>
      <c r="CC39" s="28">
        <v>287</v>
      </c>
      <c r="CD39" s="28">
        <v>185</v>
      </c>
      <c r="CE39" s="28">
        <v>472</v>
      </c>
      <c r="CF39" s="28">
        <v>189</v>
      </c>
      <c r="CG39" s="29">
        <v>661</v>
      </c>
      <c r="CH39" s="26"/>
      <c r="CI39" s="27">
        <v>125</v>
      </c>
      <c r="CJ39" s="28">
        <v>125</v>
      </c>
      <c r="CK39" s="28">
        <v>250</v>
      </c>
      <c r="CL39" s="28">
        <v>125</v>
      </c>
      <c r="CM39" s="28">
        <v>375</v>
      </c>
      <c r="CN39" s="28">
        <v>144</v>
      </c>
      <c r="CO39" s="29">
        <v>519</v>
      </c>
      <c r="CP39" s="26"/>
      <c r="CQ39" s="27">
        <v>0</v>
      </c>
      <c r="CR39" s="36">
        <v>0</v>
      </c>
      <c r="CS39" s="36">
        <v>0</v>
      </c>
      <c r="CT39" s="36">
        <v>0</v>
      </c>
      <c r="CU39" s="22">
        <v>0</v>
      </c>
      <c r="CV39" s="36">
        <v>124</v>
      </c>
      <c r="CW39" s="37">
        <v>124</v>
      </c>
    </row>
    <row r="40" spans="1:101" ht="15" customHeight="1" outlineLevel="1" x14ac:dyDescent="0.25">
      <c r="A40" s="95" t="s">
        <v>71</v>
      </c>
      <c r="B40" s="5" t="s">
        <v>71</v>
      </c>
      <c r="C40" s="218"/>
      <c r="D40" s="218"/>
      <c r="E40" s="742">
        <v>0</v>
      </c>
      <c r="F40" s="218"/>
      <c r="G40" s="624">
        <v>0</v>
      </c>
      <c r="H40" s="542">
        <v>0</v>
      </c>
      <c r="I40" s="542"/>
      <c r="J40" s="542">
        <v>0</v>
      </c>
      <c r="K40" s="542"/>
      <c r="L40" s="542"/>
      <c r="M40" s="632"/>
      <c r="N40" s="218"/>
      <c r="O40" s="569">
        <v>0</v>
      </c>
      <c r="P40" s="408">
        <v>0</v>
      </c>
      <c r="Q40" s="408"/>
      <c r="R40" s="408">
        <v>0</v>
      </c>
      <c r="S40" s="408"/>
      <c r="T40" s="408"/>
      <c r="U40" s="408"/>
      <c r="V40" s="576"/>
      <c r="W40" s="569">
        <v>0</v>
      </c>
      <c r="X40" s="408">
        <f t="shared" si="0"/>
        <v>0</v>
      </c>
      <c r="Y40" s="408">
        <v>0</v>
      </c>
      <c r="Z40" s="408">
        <f t="shared" si="0"/>
        <v>0</v>
      </c>
      <c r="AA40" s="424">
        <v>0</v>
      </c>
      <c r="AB40" s="408">
        <f t="shared" si="0"/>
        <v>0</v>
      </c>
      <c r="AC40" s="23">
        <v>0</v>
      </c>
      <c r="AD40" s="483"/>
      <c r="AE40" s="27">
        <v>0</v>
      </c>
      <c r="AF40" s="408">
        <f t="shared" si="1"/>
        <v>0</v>
      </c>
      <c r="AG40" s="408">
        <v>0</v>
      </c>
      <c r="AH40" s="408">
        <f t="shared" si="2"/>
        <v>0</v>
      </c>
      <c r="AI40" s="408">
        <v>0</v>
      </c>
      <c r="AJ40" s="405">
        <f t="shared" si="3"/>
        <v>0</v>
      </c>
      <c r="AK40" s="23">
        <v>0</v>
      </c>
      <c r="AL40" s="218"/>
      <c r="AM40" s="27">
        <v>0</v>
      </c>
      <c r="AN40" s="408">
        <v>0</v>
      </c>
      <c r="AO40" s="408">
        <v>0</v>
      </c>
      <c r="AP40" s="408">
        <v>0</v>
      </c>
      <c r="AQ40" s="408">
        <v>0</v>
      </c>
      <c r="AR40" s="408">
        <f t="shared" si="4"/>
        <v>0</v>
      </c>
      <c r="AS40" s="29">
        <v>0</v>
      </c>
      <c r="AT40" s="218"/>
      <c r="AU40" s="27">
        <v>0</v>
      </c>
      <c r="AV40" s="408">
        <v>0</v>
      </c>
      <c r="AW40" s="408">
        <v>0</v>
      </c>
      <c r="AX40" s="408">
        <v>0</v>
      </c>
      <c r="AY40" s="408">
        <v>0</v>
      </c>
      <c r="AZ40" s="408">
        <v>0</v>
      </c>
      <c r="BA40" s="29">
        <v>0</v>
      </c>
      <c r="BB40" s="218"/>
      <c r="BC40" s="27">
        <v>0</v>
      </c>
      <c r="BD40" s="28">
        <v>0</v>
      </c>
      <c r="BE40" s="28">
        <v>0</v>
      </c>
      <c r="BF40" s="28">
        <v>0</v>
      </c>
      <c r="BG40" s="28">
        <v>0</v>
      </c>
      <c r="BH40" s="28">
        <v>0</v>
      </c>
      <c r="BI40" s="29">
        <v>0</v>
      </c>
      <c r="BJ40" s="218"/>
      <c r="BK40" s="27">
        <v>0</v>
      </c>
      <c r="BL40" s="28">
        <v>0</v>
      </c>
      <c r="BM40" s="28">
        <v>0</v>
      </c>
      <c r="BN40" s="28">
        <v>0</v>
      </c>
      <c r="BO40" s="28">
        <v>0</v>
      </c>
      <c r="BP40" s="28">
        <v>0</v>
      </c>
      <c r="BQ40" s="29">
        <v>0</v>
      </c>
      <c r="BR40" s="218"/>
      <c r="BS40" s="27">
        <v>0</v>
      </c>
      <c r="BT40" s="28">
        <v>0</v>
      </c>
      <c r="BU40" s="28">
        <v>0</v>
      </c>
      <c r="BV40" s="28">
        <v>0</v>
      </c>
      <c r="BW40" s="28">
        <v>0</v>
      </c>
      <c r="BX40" s="28">
        <v>0</v>
      </c>
      <c r="BY40" s="29">
        <v>0</v>
      </c>
      <c r="BZ40" s="218"/>
      <c r="CA40" s="27">
        <v>0</v>
      </c>
      <c r="CB40" s="28">
        <v>0</v>
      </c>
      <c r="CC40" s="28">
        <v>0</v>
      </c>
      <c r="CD40" s="28">
        <v>0</v>
      </c>
      <c r="CE40" s="28">
        <v>0</v>
      </c>
      <c r="CF40" s="28">
        <v>0</v>
      </c>
      <c r="CG40" s="29">
        <v>0</v>
      </c>
      <c r="CH40" s="26"/>
      <c r="CI40" s="27">
        <v>0</v>
      </c>
      <c r="CJ40" s="28">
        <v>0</v>
      </c>
      <c r="CK40" s="28">
        <v>0</v>
      </c>
      <c r="CL40" s="28">
        <v>0</v>
      </c>
      <c r="CM40" s="28">
        <v>0</v>
      </c>
      <c r="CN40" s="28">
        <v>0</v>
      </c>
      <c r="CO40" s="29">
        <v>0</v>
      </c>
      <c r="CP40" s="26"/>
      <c r="CQ40" s="27">
        <v>0</v>
      </c>
      <c r="CR40" s="36">
        <v>0</v>
      </c>
      <c r="CS40" s="36">
        <v>0</v>
      </c>
      <c r="CT40" s="36">
        <v>0</v>
      </c>
      <c r="CU40" s="22">
        <v>0</v>
      </c>
      <c r="CV40" s="36">
        <v>0</v>
      </c>
      <c r="CW40" s="37">
        <v>0</v>
      </c>
    </row>
    <row r="41" spans="1:101" ht="15" customHeight="1" outlineLevel="1" x14ac:dyDescent="0.25">
      <c r="A41" s="95" t="s">
        <v>98</v>
      </c>
      <c r="B41" s="5" t="s">
        <v>62</v>
      </c>
      <c r="C41" s="218"/>
      <c r="D41" s="218"/>
      <c r="E41" s="742">
        <v>0</v>
      </c>
      <c r="F41" s="218"/>
      <c r="G41" s="624">
        <v>0</v>
      </c>
      <c r="H41" s="542">
        <v>0</v>
      </c>
      <c r="I41" s="542"/>
      <c r="J41" s="542">
        <v>0</v>
      </c>
      <c r="K41" s="542"/>
      <c r="L41" s="542"/>
      <c r="M41" s="632"/>
      <c r="N41" s="218"/>
      <c r="O41" s="569">
        <v>0</v>
      </c>
      <c r="P41" s="408">
        <v>0</v>
      </c>
      <c r="Q41" s="408"/>
      <c r="R41" s="408">
        <v>0</v>
      </c>
      <c r="S41" s="408"/>
      <c r="T41" s="408"/>
      <c r="U41" s="408"/>
      <c r="V41" s="576"/>
      <c r="W41" s="569">
        <v>0</v>
      </c>
      <c r="X41" s="408">
        <f t="shared" si="0"/>
        <v>0</v>
      </c>
      <c r="Y41" s="408">
        <v>0</v>
      </c>
      <c r="Z41" s="408">
        <f t="shared" si="0"/>
        <v>0</v>
      </c>
      <c r="AA41" s="424">
        <v>0</v>
      </c>
      <c r="AB41" s="408">
        <f t="shared" si="0"/>
        <v>0</v>
      </c>
      <c r="AC41" s="29">
        <v>0</v>
      </c>
      <c r="AD41" s="483"/>
      <c r="AE41" s="27">
        <v>0</v>
      </c>
      <c r="AF41" s="408">
        <f t="shared" si="1"/>
        <v>0</v>
      </c>
      <c r="AG41" s="408">
        <v>0</v>
      </c>
      <c r="AH41" s="408">
        <f t="shared" si="2"/>
        <v>0</v>
      </c>
      <c r="AI41" s="408">
        <v>0</v>
      </c>
      <c r="AJ41" s="408">
        <f t="shared" si="3"/>
        <v>0</v>
      </c>
      <c r="AK41" s="29">
        <v>0</v>
      </c>
      <c r="AL41" s="218"/>
      <c r="AM41" s="27">
        <v>0</v>
      </c>
      <c r="AN41" s="408">
        <v>0</v>
      </c>
      <c r="AO41" s="408">
        <v>0</v>
      </c>
      <c r="AP41" s="408">
        <v>0</v>
      </c>
      <c r="AQ41" s="408">
        <v>0</v>
      </c>
      <c r="AR41" s="408">
        <f t="shared" si="4"/>
        <v>0</v>
      </c>
      <c r="AS41" s="29">
        <v>0</v>
      </c>
      <c r="AT41" s="218"/>
      <c r="AU41" s="27">
        <v>0</v>
      </c>
      <c r="AV41" s="408">
        <v>0</v>
      </c>
      <c r="AW41" s="408">
        <v>0</v>
      </c>
      <c r="AX41" s="408">
        <v>0</v>
      </c>
      <c r="AY41" s="408">
        <v>0</v>
      </c>
      <c r="AZ41" s="408">
        <v>0</v>
      </c>
      <c r="BA41" s="29">
        <v>0</v>
      </c>
      <c r="BB41" s="218"/>
      <c r="BC41" s="27">
        <v>0</v>
      </c>
      <c r="BD41" s="28">
        <v>0</v>
      </c>
      <c r="BE41" s="28">
        <v>0</v>
      </c>
      <c r="BF41" s="28">
        <v>0</v>
      </c>
      <c r="BG41" s="28">
        <v>0</v>
      </c>
      <c r="BH41" s="28">
        <v>0</v>
      </c>
      <c r="BI41" s="29">
        <v>0</v>
      </c>
      <c r="BJ41" s="218"/>
      <c r="BK41" s="27">
        <v>632</v>
      </c>
      <c r="BL41" s="28">
        <v>0</v>
      </c>
      <c r="BM41" s="28">
        <v>632</v>
      </c>
      <c r="BN41" s="28">
        <v>0</v>
      </c>
      <c r="BO41" s="28">
        <v>632</v>
      </c>
      <c r="BP41" s="28">
        <v>0</v>
      </c>
      <c r="BQ41" s="29">
        <v>632</v>
      </c>
      <c r="BR41" s="218"/>
      <c r="BS41" s="27">
        <v>0</v>
      </c>
      <c r="BT41" s="28">
        <v>0</v>
      </c>
      <c r="BU41" s="28">
        <v>0</v>
      </c>
      <c r="BV41" s="28">
        <v>0</v>
      </c>
      <c r="BW41" s="28">
        <v>0</v>
      </c>
      <c r="BX41" s="28">
        <v>214</v>
      </c>
      <c r="BY41" s="29">
        <v>214</v>
      </c>
      <c r="BZ41" s="218"/>
      <c r="CA41" s="27">
        <v>189</v>
      </c>
      <c r="CB41" s="28">
        <v>0</v>
      </c>
      <c r="CC41" s="28">
        <v>189</v>
      </c>
      <c r="CD41" s="28">
        <v>0</v>
      </c>
      <c r="CE41" s="28">
        <v>189</v>
      </c>
      <c r="CF41" s="28">
        <v>0</v>
      </c>
      <c r="CG41" s="29">
        <v>189</v>
      </c>
      <c r="CH41" s="26"/>
      <c r="CI41" s="27">
        <v>0</v>
      </c>
      <c r="CJ41" s="28">
        <v>0</v>
      </c>
      <c r="CK41" s="28">
        <v>0</v>
      </c>
      <c r="CL41" s="28">
        <v>0</v>
      </c>
      <c r="CM41" s="28">
        <v>0</v>
      </c>
      <c r="CN41" s="28">
        <v>285</v>
      </c>
      <c r="CO41" s="29">
        <v>285</v>
      </c>
      <c r="CP41" s="26"/>
      <c r="CQ41" s="27">
        <v>0</v>
      </c>
      <c r="CR41" s="36">
        <v>0</v>
      </c>
      <c r="CS41" s="36">
        <v>0</v>
      </c>
      <c r="CT41" s="36">
        <v>0</v>
      </c>
      <c r="CU41" s="22">
        <v>0</v>
      </c>
      <c r="CV41" s="36">
        <v>2765</v>
      </c>
      <c r="CW41" s="37">
        <v>2765</v>
      </c>
    </row>
    <row r="42" spans="1:101" ht="15" customHeight="1" outlineLevel="1" x14ac:dyDescent="0.25">
      <c r="A42" s="95"/>
      <c r="B42" s="5" t="s">
        <v>63</v>
      </c>
      <c r="C42" s="218"/>
      <c r="D42" s="218"/>
      <c r="E42" s="742">
        <v>0</v>
      </c>
      <c r="F42" s="218"/>
      <c r="G42" s="624">
        <v>0</v>
      </c>
      <c r="H42" s="542">
        <v>0</v>
      </c>
      <c r="I42" s="542"/>
      <c r="J42" s="542">
        <v>0</v>
      </c>
      <c r="K42" s="542"/>
      <c r="L42" s="542"/>
      <c r="M42" s="632"/>
      <c r="N42" s="218"/>
      <c r="O42" s="569">
        <v>0</v>
      </c>
      <c r="P42" s="408">
        <v>0</v>
      </c>
      <c r="Q42" s="408"/>
      <c r="R42" s="408">
        <v>0</v>
      </c>
      <c r="S42" s="408"/>
      <c r="T42" s="408"/>
      <c r="U42" s="408"/>
      <c r="V42" s="576"/>
      <c r="W42" s="569">
        <v>0</v>
      </c>
      <c r="X42" s="408">
        <f t="shared" si="0"/>
        <v>0</v>
      </c>
      <c r="Y42" s="408">
        <v>0</v>
      </c>
      <c r="Z42" s="408">
        <f t="shared" si="0"/>
        <v>0</v>
      </c>
      <c r="AA42" s="424">
        <v>0</v>
      </c>
      <c r="AB42" s="408">
        <f t="shared" si="0"/>
        <v>0</v>
      </c>
      <c r="AC42" s="29">
        <v>0</v>
      </c>
      <c r="AD42" s="483"/>
      <c r="AE42" s="27">
        <v>0</v>
      </c>
      <c r="AF42" s="408">
        <f t="shared" si="1"/>
        <v>0</v>
      </c>
      <c r="AG42" s="408">
        <v>0</v>
      </c>
      <c r="AH42" s="408">
        <f t="shared" si="2"/>
        <v>0</v>
      </c>
      <c r="AI42" s="408">
        <v>0</v>
      </c>
      <c r="AJ42" s="408">
        <f t="shared" si="3"/>
        <v>0</v>
      </c>
      <c r="AK42" s="29">
        <v>0</v>
      </c>
      <c r="AL42" s="218"/>
      <c r="AM42" s="27">
        <v>0</v>
      </c>
      <c r="AN42" s="408">
        <v>0</v>
      </c>
      <c r="AO42" s="408">
        <v>0</v>
      </c>
      <c r="AP42" s="408">
        <v>0</v>
      </c>
      <c r="AQ42" s="408">
        <v>0</v>
      </c>
      <c r="AR42" s="408">
        <f t="shared" si="4"/>
        <v>0</v>
      </c>
      <c r="AS42" s="29">
        <v>0</v>
      </c>
      <c r="AT42" s="218"/>
      <c r="AU42" s="27">
        <v>0</v>
      </c>
      <c r="AV42" s="408">
        <v>0</v>
      </c>
      <c r="AW42" s="408">
        <v>0</v>
      </c>
      <c r="AX42" s="408">
        <v>0</v>
      </c>
      <c r="AY42" s="408">
        <v>0</v>
      </c>
      <c r="AZ42" s="408">
        <v>0</v>
      </c>
      <c r="BA42" s="29">
        <v>0</v>
      </c>
      <c r="BB42" s="218"/>
      <c r="BC42" s="27">
        <v>0</v>
      </c>
      <c r="BD42" s="28">
        <v>0</v>
      </c>
      <c r="BE42" s="28">
        <v>0</v>
      </c>
      <c r="BF42" s="28">
        <v>0</v>
      </c>
      <c r="BG42" s="28">
        <v>0</v>
      </c>
      <c r="BH42" s="28">
        <v>0</v>
      </c>
      <c r="BI42" s="29">
        <v>0</v>
      </c>
      <c r="BJ42" s="218"/>
      <c r="BK42" s="27">
        <v>0</v>
      </c>
      <c r="BL42" s="28">
        <v>0</v>
      </c>
      <c r="BM42" s="28">
        <v>0</v>
      </c>
      <c r="BN42" s="28">
        <v>0</v>
      </c>
      <c r="BO42" s="28">
        <v>0</v>
      </c>
      <c r="BP42" s="28">
        <v>-4800</v>
      </c>
      <c r="BQ42" s="29">
        <v>-4800</v>
      </c>
      <c r="BR42" s="218"/>
      <c r="BS42" s="27">
        <v>0</v>
      </c>
      <c r="BT42" s="28">
        <v>0</v>
      </c>
      <c r="BU42" s="28">
        <v>0</v>
      </c>
      <c r="BV42" s="28">
        <v>0</v>
      </c>
      <c r="BW42" s="28">
        <v>0</v>
      </c>
      <c r="BX42" s="28">
        <v>-956</v>
      </c>
      <c r="BY42" s="29">
        <v>-956</v>
      </c>
      <c r="BZ42" s="218"/>
      <c r="CA42" s="27">
        <v>0</v>
      </c>
      <c r="CB42" s="28">
        <v>0</v>
      </c>
      <c r="CC42" s="28">
        <v>0</v>
      </c>
      <c r="CD42" s="28">
        <v>0</v>
      </c>
      <c r="CE42" s="28">
        <v>0</v>
      </c>
      <c r="CF42" s="28">
        <v>394</v>
      </c>
      <c r="CG42" s="29">
        <v>394</v>
      </c>
      <c r="CH42" s="26"/>
      <c r="CI42" s="27">
        <v>0</v>
      </c>
      <c r="CJ42" s="28">
        <v>0</v>
      </c>
      <c r="CK42" s="28">
        <v>0</v>
      </c>
      <c r="CL42" s="28">
        <v>0</v>
      </c>
      <c r="CM42" s="28">
        <v>0</v>
      </c>
      <c r="CN42" s="28">
        <v>0</v>
      </c>
      <c r="CO42" s="29">
        <v>0</v>
      </c>
      <c r="CP42" s="26"/>
      <c r="CQ42" s="27">
        <v>0</v>
      </c>
      <c r="CR42" s="36">
        <v>0</v>
      </c>
      <c r="CS42" s="36">
        <v>0</v>
      </c>
      <c r="CT42" s="36">
        <v>0</v>
      </c>
      <c r="CU42" s="22">
        <v>0</v>
      </c>
      <c r="CV42" s="36">
        <v>0</v>
      </c>
      <c r="CW42" s="37">
        <v>0</v>
      </c>
    </row>
    <row r="43" spans="1:101" ht="15" customHeight="1" outlineLevel="1" x14ac:dyDescent="0.25">
      <c r="A43" s="95" t="s">
        <v>157</v>
      </c>
      <c r="B43" s="5" t="s">
        <v>86</v>
      </c>
      <c r="C43" s="218"/>
      <c r="D43" s="218"/>
      <c r="E43" s="742">
        <v>0</v>
      </c>
      <c r="F43" s="218"/>
      <c r="G43" s="624">
        <v>0</v>
      </c>
      <c r="H43" s="542">
        <v>0</v>
      </c>
      <c r="I43" s="542"/>
      <c r="J43" s="542">
        <v>0</v>
      </c>
      <c r="K43" s="542"/>
      <c r="L43" s="542"/>
      <c r="M43" s="632"/>
      <c r="N43" s="218"/>
      <c r="O43" s="569">
        <v>0</v>
      </c>
      <c r="P43" s="408">
        <v>0</v>
      </c>
      <c r="Q43" s="408"/>
      <c r="R43" s="408">
        <v>0</v>
      </c>
      <c r="S43" s="408"/>
      <c r="T43" s="408"/>
      <c r="U43" s="408"/>
      <c r="V43" s="576"/>
      <c r="W43" s="569">
        <v>0</v>
      </c>
      <c r="X43" s="408">
        <f t="shared" si="0"/>
        <v>0</v>
      </c>
      <c r="Y43" s="408">
        <v>0</v>
      </c>
      <c r="Z43" s="408">
        <f t="shared" si="0"/>
        <v>0</v>
      </c>
      <c r="AA43" s="424">
        <v>0</v>
      </c>
      <c r="AB43" s="408">
        <f t="shared" si="0"/>
        <v>0</v>
      </c>
      <c r="AC43" s="29">
        <v>0</v>
      </c>
      <c r="AD43" s="483"/>
      <c r="AE43" s="27">
        <v>0</v>
      </c>
      <c r="AF43" s="408">
        <f t="shared" si="1"/>
        <v>0</v>
      </c>
      <c r="AG43" s="408">
        <v>0</v>
      </c>
      <c r="AH43" s="408">
        <f t="shared" si="2"/>
        <v>0</v>
      </c>
      <c r="AI43" s="408">
        <v>0</v>
      </c>
      <c r="AJ43" s="408">
        <f t="shared" si="3"/>
        <v>0</v>
      </c>
      <c r="AK43" s="29">
        <v>0</v>
      </c>
      <c r="AL43" s="218"/>
      <c r="AM43" s="27">
        <v>0</v>
      </c>
      <c r="AN43" s="408">
        <v>0</v>
      </c>
      <c r="AO43" s="408">
        <v>0</v>
      </c>
      <c r="AP43" s="408">
        <v>0</v>
      </c>
      <c r="AQ43" s="408">
        <v>0</v>
      </c>
      <c r="AR43" s="408">
        <f t="shared" si="4"/>
        <v>0</v>
      </c>
      <c r="AS43" s="29">
        <v>0</v>
      </c>
      <c r="AT43" s="218"/>
      <c r="AU43" s="27">
        <v>0</v>
      </c>
      <c r="AV43" s="408">
        <v>0</v>
      </c>
      <c r="AW43" s="408">
        <v>0</v>
      </c>
      <c r="AX43" s="408">
        <v>0</v>
      </c>
      <c r="AY43" s="408">
        <v>0</v>
      </c>
      <c r="AZ43" s="408">
        <v>0</v>
      </c>
      <c r="BA43" s="29">
        <v>0</v>
      </c>
      <c r="BB43" s="218"/>
      <c r="BC43" s="27">
        <v>0</v>
      </c>
      <c r="BD43" s="28">
        <v>0</v>
      </c>
      <c r="BE43" s="28">
        <v>0</v>
      </c>
      <c r="BF43" s="28">
        <v>0</v>
      </c>
      <c r="BG43" s="28">
        <v>0</v>
      </c>
      <c r="BH43" s="28">
        <v>0</v>
      </c>
      <c r="BI43" s="29">
        <v>0</v>
      </c>
      <c r="BJ43" s="218"/>
      <c r="BK43" s="27">
        <v>0</v>
      </c>
      <c r="BL43" s="28">
        <v>0</v>
      </c>
      <c r="BM43" s="28">
        <v>0</v>
      </c>
      <c r="BN43" s="28">
        <v>0</v>
      </c>
      <c r="BO43" s="28">
        <v>0</v>
      </c>
      <c r="BP43" s="28">
        <v>0</v>
      </c>
      <c r="BQ43" s="29">
        <v>0</v>
      </c>
      <c r="BR43" s="218"/>
      <c r="BS43" s="27">
        <v>0</v>
      </c>
      <c r="BT43" s="28">
        <v>0</v>
      </c>
      <c r="BU43" s="28">
        <v>0</v>
      </c>
      <c r="BV43" s="28">
        <v>0</v>
      </c>
      <c r="BW43" s="28">
        <v>0</v>
      </c>
      <c r="BX43" s="28">
        <v>0</v>
      </c>
      <c r="BY43" s="29">
        <v>0</v>
      </c>
      <c r="BZ43" s="218"/>
      <c r="CA43" s="27">
        <v>0</v>
      </c>
      <c r="CB43" s="28">
        <v>0</v>
      </c>
      <c r="CC43" s="28">
        <v>0</v>
      </c>
      <c r="CD43" s="28">
        <v>0</v>
      </c>
      <c r="CE43" s="28">
        <v>0</v>
      </c>
      <c r="CF43" s="28">
        <v>0</v>
      </c>
      <c r="CG43" s="29">
        <v>0</v>
      </c>
      <c r="CH43" s="26"/>
      <c r="CI43" s="27">
        <v>375</v>
      </c>
      <c r="CJ43" s="28">
        <v>375</v>
      </c>
      <c r="CK43" s="28">
        <v>750</v>
      </c>
      <c r="CL43" s="28">
        <v>375</v>
      </c>
      <c r="CM43" s="28">
        <v>1125</v>
      </c>
      <c r="CN43" s="28">
        <v>0</v>
      </c>
      <c r="CO43" s="29">
        <v>1125</v>
      </c>
      <c r="CP43" s="26"/>
      <c r="CQ43" s="27">
        <v>0</v>
      </c>
      <c r="CR43" s="36">
        <v>0</v>
      </c>
      <c r="CS43" s="36">
        <v>0</v>
      </c>
      <c r="CT43" s="36">
        <v>0</v>
      </c>
      <c r="CU43" s="22">
        <v>0</v>
      </c>
      <c r="CV43" s="36">
        <v>375</v>
      </c>
      <c r="CW43" s="37">
        <v>375</v>
      </c>
    </row>
    <row r="44" spans="1:101" ht="17.25" customHeight="1" outlineLevel="1" x14ac:dyDescent="0.4">
      <c r="A44" s="95" t="s">
        <v>163</v>
      </c>
      <c r="B44" s="5" t="s">
        <v>34</v>
      </c>
      <c r="C44" s="218"/>
      <c r="D44" s="218"/>
      <c r="E44" s="744">
        <v>-110</v>
      </c>
      <c r="F44" s="218"/>
      <c r="G44" s="689">
        <f>-100.408+69</f>
        <v>-31.408000000000001</v>
      </c>
      <c r="H44" s="615">
        <f>I44-G44</f>
        <v>1.1619999999999919</v>
      </c>
      <c r="I44" s="615">
        <f>-193.246+163</f>
        <v>-30.246000000000009</v>
      </c>
      <c r="J44" s="615">
        <f>K44-I44</f>
        <v>1.7349999999999852</v>
      </c>
      <c r="K44" s="615">
        <f>-308.511+280</f>
        <v>-28.511000000000024</v>
      </c>
      <c r="L44" s="410">
        <f>M44-K44</f>
        <v>16.07000000000005</v>
      </c>
      <c r="M44" s="33">
        <f>-403.441+391</f>
        <v>-12.440999999999974</v>
      </c>
      <c r="N44" s="218"/>
      <c r="O44" s="571">
        <v>11</v>
      </c>
      <c r="P44" s="410">
        <v>-37</v>
      </c>
      <c r="Q44" s="410">
        <v>-27</v>
      </c>
      <c r="R44" s="410">
        <v>2</v>
      </c>
      <c r="S44" s="410">
        <v>-25</v>
      </c>
      <c r="T44" s="410">
        <v>-89</v>
      </c>
      <c r="U44" s="410">
        <v>-114</v>
      </c>
      <c r="V44" s="576"/>
      <c r="W44" s="571">
        <v>-60</v>
      </c>
      <c r="X44" s="410">
        <f t="shared" si="0"/>
        <v>42</v>
      </c>
      <c r="Y44" s="410">
        <v>-18</v>
      </c>
      <c r="Z44" s="410">
        <f t="shared" si="0"/>
        <v>-14</v>
      </c>
      <c r="AA44" s="428">
        <v>-32</v>
      </c>
      <c r="AB44" s="410">
        <f t="shared" si="0"/>
        <v>24.864000000000033</v>
      </c>
      <c r="AC44" s="33">
        <v>-7.1359999999999673</v>
      </c>
      <c r="AD44" s="483"/>
      <c r="AE44" s="31">
        <v>-255</v>
      </c>
      <c r="AF44" s="410">
        <f t="shared" si="1"/>
        <v>310</v>
      </c>
      <c r="AG44" s="410">
        <f>777-722</f>
        <v>55</v>
      </c>
      <c r="AH44" s="410">
        <f t="shared" si="2"/>
        <v>-29</v>
      </c>
      <c r="AI44" s="410">
        <v>26</v>
      </c>
      <c r="AJ44" s="410">
        <f t="shared" si="3"/>
        <v>-426</v>
      </c>
      <c r="AK44" s="33">
        <f>+-1730+1330</f>
        <v>-400</v>
      </c>
      <c r="AL44" s="218"/>
      <c r="AM44" s="31">
        <v>-55</v>
      </c>
      <c r="AN44" s="410">
        <v>-42</v>
      </c>
      <c r="AO44" s="410">
        <v>-97</v>
      </c>
      <c r="AP44" s="410">
        <v>-453</v>
      </c>
      <c r="AQ44" s="410">
        <v>-550</v>
      </c>
      <c r="AR44" s="410">
        <f t="shared" si="4"/>
        <v>356</v>
      </c>
      <c r="AS44" s="33">
        <v>-194</v>
      </c>
      <c r="AT44" s="218"/>
      <c r="AU44" s="31">
        <v>-225</v>
      </c>
      <c r="AV44" s="410">
        <v>307</v>
      </c>
      <c r="AW44" s="410">
        <v>82</v>
      </c>
      <c r="AX44" s="410">
        <v>4</v>
      </c>
      <c r="AY44" s="410">
        <v>86</v>
      </c>
      <c r="AZ44" s="410">
        <v>54</v>
      </c>
      <c r="BA44" s="33">
        <v>140</v>
      </c>
      <c r="BB44" s="218"/>
      <c r="BC44" s="31">
        <v>70</v>
      </c>
      <c r="BD44" s="32">
        <v>15</v>
      </c>
      <c r="BE44" s="32">
        <v>85</v>
      </c>
      <c r="BF44" s="32">
        <v>-69</v>
      </c>
      <c r="BG44" s="32">
        <v>16</v>
      </c>
      <c r="BH44" s="32">
        <v>-128</v>
      </c>
      <c r="BI44" s="33">
        <v>-112</v>
      </c>
      <c r="BJ44" s="218"/>
      <c r="BK44" s="31">
        <v>0</v>
      </c>
      <c r="BL44" s="32">
        <v>0</v>
      </c>
      <c r="BM44" s="32">
        <v>0</v>
      </c>
      <c r="BN44" s="32">
        <v>0</v>
      </c>
      <c r="BO44" s="32">
        <v>0</v>
      </c>
      <c r="BP44" s="32">
        <v>0</v>
      </c>
      <c r="BQ44" s="33">
        <v>0</v>
      </c>
      <c r="BR44" s="218"/>
      <c r="BS44" s="31">
        <v>0</v>
      </c>
      <c r="BT44" s="32">
        <v>0</v>
      </c>
      <c r="BU44" s="32">
        <v>0</v>
      </c>
      <c r="BV44" s="32">
        <v>0</v>
      </c>
      <c r="BW44" s="32">
        <v>0</v>
      </c>
      <c r="BX44" s="32">
        <v>0</v>
      </c>
      <c r="BY44" s="33">
        <v>0</v>
      </c>
      <c r="BZ44" s="218"/>
      <c r="CA44" s="31">
        <v>0</v>
      </c>
      <c r="CB44" s="32">
        <v>0</v>
      </c>
      <c r="CC44" s="32">
        <v>0</v>
      </c>
      <c r="CD44" s="32">
        <v>0</v>
      </c>
      <c r="CE44" s="32">
        <v>0</v>
      </c>
      <c r="CF44" s="32">
        <v>0</v>
      </c>
      <c r="CG44" s="33">
        <v>0</v>
      </c>
      <c r="CH44" s="26"/>
      <c r="CI44" s="31">
        <v>0</v>
      </c>
      <c r="CJ44" s="32">
        <v>0</v>
      </c>
      <c r="CK44" s="32">
        <v>0</v>
      </c>
      <c r="CL44" s="32">
        <v>0</v>
      </c>
      <c r="CM44" s="32">
        <v>0</v>
      </c>
      <c r="CN44" s="32">
        <v>0</v>
      </c>
      <c r="CO44" s="33">
        <v>0</v>
      </c>
      <c r="CP44" s="26"/>
      <c r="CQ44" s="31">
        <v>0</v>
      </c>
      <c r="CR44" s="32">
        <v>0</v>
      </c>
      <c r="CS44" s="32">
        <v>0</v>
      </c>
      <c r="CT44" s="32">
        <v>0</v>
      </c>
      <c r="CU44" s="32">
        <v>0</v>
      </c>
      <c r="CV44" s="32">
        <v>0</v>
      </c>
      <c r="CW44" s="33">
        <v>0</v>
      </c>
    </row>
    <row r="45" spans="1:101" s="14" customFormat="1" x14ac:dyDescent="0.25">
      <c r="A45" s="95" t="s">
        <v>65</v>
      </c>
      <c r="B45" s="16" t="s">
        <v>65</v>
      </c>
      <c r="C45" s="218"/>
      <c r="D45" s="218"/>
      <c r="E45" s="705">
        <f>SUM(E37:E44)+1</f>
        <v>10913.244000000002</v>
      </c>
      <c r="F45" s="218"/>
      <c r="G45" s="669">
        <f>SUM(G37:G44)+1</f>
        <v>10167.328000000001</v>
      </c>
      <c r="H45" s="672">
        <f t="shared" ref="H45:M45" si="31">SUM(H37:H44)</f>
        <v>14971.458999999999</v>
      </c>
      <c r="I45" s="672">
        <f>SUM(I37:I44)+1</f>
        <v>25138.786999999989</v>
      </c>
      <c r="J45" s="672">
        <f t="shared" si="31"/>
        <v>13722.176000000007</v>
      </c>
      <c r="K45" s="672">
        <f t="shared" si="31"/>
        <v>38859.963000000011</v>
      </c>
      <c r="L45" s="608">
        <f t="shared" si="31"/>
        <v>19546.703999999998</v>
      </c>
      <c r="M45" s="622">
        <f t="shared" si="31"/>
        <v>58406.666999999994</v>
      </c>
      <c r="N45" s="218"/>
      <c r="O45" s="567">
        <f>SUM(O37:O44)</f>
        <v>10220</v>
      </c>
      <c r="P45" s="608">
        <f t="shared" ref="P45:Q45" si="32">SUM(P37:P44)</f>
        <v>12731</v>
      </c>
      <c r="Q45" s="608">
        <f t="shared" si="32"/>
        <v>22950</v>
      </c>
      <c r="R45" s="608">
        <f t="shared" ref="R45:S45" si="33">SUM(R37:R44)</f>
        <v>12234</v>
      </c>
      <c r="S45" s="608">
        <f t="shared" si="33"/>
        <v>35184</v>
      </c>
      <c r="T45" s="608">
        <f t="shared" ref="T45:U45" si="34">SUM(T37:T44)</f>
        <v>15784</v>
      </c>
      <c r="U45" s="608">
        <f t="shared" si="34"/>
        <v>50968</v>
      </c>
      <c r="V45" s="576"/>
      <c r="W45" s="567">
        <v>10011</v>
      </c>
      <c r="X45" s="406">
        <f t="shared" si="0"/>
        <v>12480</v>
      </c>
      <c r="Y45" s="406">
        <v>22491</v>
      </c>
      <c r="Z45" s="406">
        <f t="shared" si="0"/>
        <v>11897</v>
      </c>
      <c r="AA45" s="423">
        <v>34388</v>
      </c>
      <c r="AB45" s="406">
        <f t="shared" si="0"/>
        <v>12298.616000000002</v>
      </c>
      <c r="AC45" s="21">
        <v>46686.616000000002</v>
      </c>
      <c r="AD45" s="483"/>
      <c r="AE45" s="25">
        <v>8211</v>
      </c>
      <c r="AF45" s="406">
        <f t="shared" si="1"/>
        <v>13946</v>
      </c>
      <c r="AG45" s="406">
        <v>22157</v>
      </c>
      <c r="AH45" s="406">
        <f t="shared" si="2"/>
        <v>8418</v>
      </c>
      <c r="AI45" s="406">
        <v>30575</v>
      </c>
      <c r="AJ45" s="406">
        <f t="shared" si="3"/>
        <v>11240.976000000002</v>
      </c>
      <c r="AK45" s="21">
        <v>41815.976000000002</v>
      </c>
      <c r="AL45" s="218"/>
      <c r="AM45" s="25">
        <v>9724</v>
      </c>
      <c r="AN45" s="406">
        <v>12420</v>
      </c>
      <c r="AO45" s="406">
        <v>22144</v>
      </c>
      <c r="AP45" s="406">
        <v>10171</v>
      </c>
      <c r="AQ45" s="406">
        <v>32315</v>
      </c>
      <c r="AR45" s="406">
        <v>12717</v>
      </c>
      <c r="AS45" s="21">
        <v>45032</v>
      </c>
      <c r="AT45" s="218"/>
      <c r="AU45" s="25">
        <v>11170</v>
      </c>
      <c r="AV45" s="406">
        <v>9751</v>
      </c>
      <c r="AW45" s="406">
        <v>20921</v>
      </c>
      <c r="AX45" s="406">
        <v>13548</v>
      </c>
      <c r="AY45" s="406">
        <v>34469</v>
      </c>
      <c r="AZ45" s="406">
        <v>14529</v>
      </c>
      <c r="BA45" s="21">
        <v>48998</v>
      </c>
      <c r="BB45" s="218"/>
      <c r="BC45" s="25">
        <v>13775</v>
      </c>
      <c r="BD45" s="20">
        <v>13715</v>
      </c>
      <c r="BE45" s="20">
        <v>27490</v>
      </c>
      <c r="BF45" s="20">
        <v>18654</v>
      </c>
      <c r="BG45" s="20">
        <v>46144</v>
      </c>
      <c r="BH45" s="20">
        <v>21885</v>
      </c>
      <c r="BI45" s="21">
        <v>68029</v>
      </c>
      <c r="BJ45" s="218"/>
      <c r="BK45" s="25">
        <v>8783</v>
      </c>
      <c r="BL45" s="20">
        <v>13995</v>
      </c>
      <c r="BM45" s="20">
        <v>22778</v>
      </c>
      <c r="BN45" s="20">
        <v>19870</v>
      </c>
      <c r="BO45" s="20">
        <v>42648</v>
      </c>
      <c r="BP45" s="20">
        <v>20697</v>
      </c>
      <c r="BQ45" s="21">
        <v>63345</v>
      </c>
      <c r="BR45" s="218"/>
      <c r="BS45" s="25">
        <v>6775</v>
      </c>
      <c r="BT45" s="20">
        <v>8862</v>
      </c>
      <c r="BU45" s="20">
        <v>15637</v>
      </c>
      <c r="BV45" s="20">
        <v>7496</v>
      </c>
      <c r="BW45" s="20">
        <v>23133</v>
      </c>
      <c r="BX45" s="20">
        <v>7989</v>
      </c>
      <c r="BY45" s="21">
        <v>31122</v>
      </c>
      <c r="BZ45" s="218"/>
      <c r="CA45" s="25">
        <v>6200</v>
      </c>
      <c r="CB45" s="20">
        <v>8702</v>
      </c>
      <c r="CC45" s="20">
        <v>14902</v>
      </c>
      <c r="CD45" s="20">
        <v>7920</v>
      </c>
      <c r="CE45" s="20">
        <v>22822</v>
      </c>
      <c r="CF45" s="20">
        <v>8279</v>
      </c>
      <c r="CG45" s="21">
        <v>31101</v>
      </c>
      <c r="CH45" s="26"/>
      <c r="CI45" s="25">
        <v>3621</v>
      </c>
      <c r="CJ45" s="20">
        <v>6579</v>
      </c>
      <c r="CK45" s="20">
        <v>10200</v>
      </c>
      <c r="CL45" s="20">
        <v>5361</v>
      </c>
      <c r="CM45" s="20">
        <v>15561</v>
      </c>
      <c r="CN45" s="20">
        <v>7531</v>
      </c>
      <c r="CO45" s="21">
        <v>23092</v>
      </c>
      <c r="CP45" s="26"/>
      <c r="CQ45" s="25">
        <v>0</v>
      </c>
      <c r="CR45" s="39">
        <v>0</v>
      </c>
      <c r="CS45" s="39">
        <v>0</v>
      </c>
      <c r="CT45" s="39">
        <v>0</v>
      </c>
      <c r="CU45" s="39">
        <v>0</v>
      </c>
      <c r="CV45" s="39">
        <v>6071</v>
      </c>
      <c r="CW45" s="40">
        <v>6071</v>
      </c>
    </row>
    <row r="46" spans="1:101" x14ac:dyDescent="0.25">
      <c r="A46" s="95"/>
      <c r="B46" s="5"/>
      <c r="C46" s="218"/>
      <c r="D46" s="218"/>
      <c r="E46" s="730"/>
      <c r="F46" s="218"/>
      <c r="G46" s="572"/>
      <c r="H46" s="406"/>
      <c r="I46" s="406"/>
      <c r="J46" s="406"/>
      <c r="K46" s="406"/>
      <c r="L46" s="406"/>
      <c r="M46" s="21"/>
      <c r="N46" s="218"/>
      <c r="O46" s="572"/>
      <c r="P46" s="406"/>
      <c r="Q46" s="406"/>
      <c r="R46" s="406"/>
      <c r="S46" s="406"/>
      <c r="T46" s="406"/>
      <c r="U46" s="21"/>
      <c r="V46" s="576"/>
      <c r="W46" s="572"/>
      <c r="X46" s="406"/>
      <c r="Y46" s="406"/>
      <c r="Z46" s="406"/>
      <c r="AA46" s="423"/>
      <c r="AB46" s="406"/>
      <c r="AC46" s="21"/>
      <c r="AD46" s="483"/>
      <c r="AE46" s="25"/>
      <c r="AF46" s="406"/>
      <c r="AG46" s="406"/>
      <c r="AH46" s="406"/>
      <c r="AI46" s="406"/>
      <c r="AJ46" s="406"/>
      <c r="AK46" s="21">
        <v>0</v>
      </c>
      <c r="AL46" s="218"/>
      <c r="AM46" s="25"/>
      <c r="AN46" s="406"/>
      <c r="AO46" s="406"/>
      <c r="AP46" s="406"/>
      <c r="AQ46" s="406"/>
      <c r="AR46" s="406"/>
      <c r="AS46" s="21"/>
      <c r="AT46" s="218"/>
      <c r="AU46" s="25"/>
      <c r="AV46" s="406"/>
      <c r="AW46" s="406"/>
      <c r="AX46" s="406"/>
      <c r="AY46" s="406"/>
      <c r="AZ46" s="406"/>
      <c r="BA46" s="21"/>
      <c r="BB46" s="218"/>
      <c r="BC46" s="25"/>
      <c r="BD46" s="406"/>
      <c r="BE46" s="406"/>
      <c r="BF46" s="406"/>
      <c r="BG46" s="406"/>
      <c r="BH46" s="406"/>
      <c r="BI46" s="21"/>
      <c r="BJ46" s="218"/>
      <c r="BK46" s="25"/>
      <c r="BL46" s="406"/>
      <c r="BM46" s="406"/>
      <c r="BN46" s="406"/>
      <c r="BO46" s="406"/>
      <c r="BP46" s="406"/>
      <c r="BQ46" s="21"/>
      <c r="BR46" s="218"/>
      <c r="BS46" s="25"/>
      <c r="BT46" s="406"/>
      <c r="BU46" s="406"/>
      <c r="BV46" s="406"/>
      <c r="BW46" s="406"/>
      <c r="BX46" s="406"/>
      <c r="BY46" s="21"/>
      <c r="BZ46" s="218"/>
      <c r="CA46" s="25"/>
      <c r="CB46" s="406"/>
      <c r="CC46" s="406"/>
      <c r="CD46" s="406"/>
      <c r="CE46" s="406"/>
      <c r="CF46" s="406"/>
      <c r="CG46" s="21"/>
      <c r="CH46" s="6"/>
      <c r="CI46" s="25"/>
      <c r="CJ46" s="406"/>
      <c r="CK46" s="406"/>
      <c r="CL46" s="406"/>
      <c r="CM46" s="406"/>
      <c r="CN46" s="406"/>
      <c r="CO46" s="21"/>
      <c r="CP46" s="6"/>
      <c r="CQ46" s="25"/>
      <c r="CR46" s="406"/>
      <c r="CS46" s="406"/>
      <c r="CT46" s="406"/>
      <c r="CU46" s="406"/>
      <c r="CV46" s="406"/>
      <c r="CW46" s="21"/>
    </row>
    <row r="47" spans="1:101" x14ac:dyDescent="0.25">
      <c r="A47" s="95"/>
      <c r="B47" s="5"/>
      <c r="C47" s="218"/>
      <c r="D47" s="218"/>
      <c r="E47" s="730"/>
      <c r="F47" s="218"/>
      <c r="G47" s="572"/>
      <c r="H47" s="406"/>
      <c r="I47" s="406"/>
      <c r="J47" s="406"/>
      <c r="K47" s="406"/>
      <c r="L47" s="406"/>
      <c r="M47" s="21"/>
      <c r="N47" s="218"/>
      <c r="O47" s="572"/>
      <c r="P47" s="406"/>
      <c r="Q47" s="406"/>
      <c r="R47" s="406"/>
      <c r="S47" s="406"/>
      <c r="T47" s="406"/>
      <c r="U47" s="21"/>
      <c r="V47" s="576"/>
      <c r="W47" s="572"/>
      <c r="X47" s="406"/>
      <c r="Y47" s="406"/>
      <c r="Z47" s="406"/>
      <c r="AA47" s="470"/>
      <c r="AB47" s="406"/>
      <c r="AC47" s="21"/>
      <c r="AD47" s="483"/>
      <c r="AE47" s="25"/>
      <c r="AF47" s="406"/>
      <c r="AG47" s="406"/>
      <c r="AH47" s="406"/>
      <c r="AI47" s="406"/>
      <c r="AJ47" s="406"/>
      <c r="AK47" s="21">
        <v>0</v>
      </c>
      <c r="AL47" s="218"/>
      <c r="AM47" s="25"/>
      <c r="AN47" s="406"/>
      <c r="AO47" s="406"/>
      <c r="AP47" s="406"/>
      <c r="AQ47" s="406"/>
      <c r="AR47" s="406"/>
      <c r="AS47" s="21"/>
      <c r="AT47" s="218"/>
      <c r="AU47" s="25"/>
      <c r="AV47" s="406"/>
      <c r="AW47" s="406"/>
      <c r="AX47" s="406"/>
      <c r="AY47" s="406"/>
      <c r="AZ47" s="406"/>
      <c r="BA47" s="21"/>
      <c r="BB47" s="218"/>
      <c r="BC47" s="25"/>
      <c r="BD47" s="20"/>
      <c r="BE47" s="20"/>
      <c r="BF47" s="20"/>
      <c r="BG47" s="20"/>
      <c r="BH47" s="20"/>
      <c r="BI47" s="21"/>
      <c r="BJ47" s="218"/>
      <c r="BK47" s="25"/>
      <c r="BL47" s="20"/>
      <c r="BM47" s="20"/>
      <c r="BN47" s="20"/>
      <c r="BO47" s="20"/>
      <c r="BP47" s="20"/>
      <c r="BQ47" s="21"/>
      <c r="BR47" s="218"/>
      <c r="BS47" s="25"/>
      <c r="BT47" s="20"/>
      <c r="BU47" s="20"/>
      <c r="BV47" s="20"/>
      <c r="BW47" s="20"/>
      <c r="BX47" s="20"/>
      <c r="BY47" s="21"/>
      <c r="BZ47" s="218"/>
      <c r="CA47" s="25"/>
      <c r="CB47" s="20"/>
      <c r="CC47" s="20"/>
      <c r="CD47" s="20"/>
      <c r="CE47" s="20"/>
      <c r="CF47" s="20"/>
      <c r="CG47" s="21"/>
      <c r="CH47" s="6"/>
      <c r="CI47" s="25"/>
      <c r="CJ47" s="20"/>
      <c r="CK47" s="20"/>
      <c r="CL47" s="20"/>
      <c r="CM47" s="20"/>
      <c r="CN47" s="20"/>
      <c r="CO47" s="21"/>
      <c r="CP47" s="6"/>
      <c r="CQ47" s="25"/>
      <c r="CR47" s="30"/>
      <c r="CS47" s="30"/>
      <c r="CT47" s="30"/>
      <c r="CU47" s="30"/>
      <c r="CV47" s="30"/>
      <c r="CW47" s="41"/>
    </row>
    <row r="48" spans="1:101" s="14" customFormat="1" x14ac:dyDescent="0.25">
      <c r="A48" s="95" t="s">
        <v>221</v>
      </c>
      <c r="B48" s="16" t="s">
        <v>25</v>
      </c>
      <c r="C48" s="218"/>
      <c r="D48" s="218"/>
      <c r="E48" s="730">
        <v>223059.97000000006</v>
      </c>
      <c r="F48" s="218"/>
      <c r="G48" s="572">
        <v>236097.15300000005</v>
      </c>
      <c r="H48" s="406"/>
      <c r="I48" s="406">
        <v>243681.70500000005</v>
      </c>
      <c r="J48" s="406"/>
      <c r="K48" s="406">
        <v>242978.21600000007</v>
      </c>
      <c r="L48" s="406"/>
      <c r="M48" s="21">
        <v>230203.50500000006</v>
      </c>
      <c r="N48" s="218"/>
      <c r="O48" s="572">
        <v>263209</v>
      </c>
      <c r="P48" s="406"/>
      <c r="Q48" s="406">
        <v>256851</v>
      </c>
      <c r="R48" s="406"/>
      <c r="S48" s="406">
        <v>263683</v>
      </c>
      <c r="T48" s="406"/>
      <c r="U48" s="406">
        <v>251979</v>
      </c>
      <c r="V48" s="576"/>
      <c r="W48" s="572">
        <v>297662</v>
      </c>
      <c r="X48" s="406"/>
      <c r="Y48" s="406">
        <v>287197</v>
      </c>
      <c r="Z48" s="406"/>
      <c r="AA48" s="423">
        <v>291539.27500000008</v>
      </c>
      <c r="AB48" s="406"/>
      <c r="AC48" s="21">
        <v>279416.44700000004</v>
      </c>
      <c r="AD48" s="483"/>
      <c r="AE48" s="25">
        <v>348926</v>
      </c>
      <c r="AF48" s="406">
        <v>348537.34299999999</v>
      </c>
      <c r="AG48" s="406"/>
      <c r="AH48" s="406"/>
      <c r="AI48" s="406">
        <v>347506</v>
      </c>
      <c r="AJ48" s="406"/>
      <c r="AK48" s="21">
        <v>319326</v>
      </c>
      <c r="AL48" s="218"/>
      <c r="AM48" s="25">
        <v>361804</v>
      </c>
      <c r="AN48" s="406">
        <v>341220</v>
      </c>
      <c r="AO48" s="406"/>
      <c r="AP48" s="406">
        <v>349189</v>
      </c>
      <c r="AQ48" s="406"/>
      <c r="AR48" s="406">
        <v>365519</v>
      </c>
      <c r="AS48" s="21"/>
      <c r="AT48" s="218"/>
      <c r="AU48" s="25">
        <v>350702</v>
      </c>
      <c r="AV48" s="406">
        <v>347491</v>
      </c>
      <c r="AW48" s="406"/>
      <c r="AX48" s="406">
        <v>374911</v>
      </c>
      <c r="AY48" s="406"/>
      <c r="AZ48" s="406">
        <v>370712</v>
      </c>
      <c r="BA48" s="21"/>
      <c r="BB48" s="218"/>
      <c r="BC48" s="25">
        <v>377474</v>
      </c>
      <c r="BD48" s="20">
        <v>369981</v>
      </c>
      <c r="BE48" s="20"/>
      <c r="BF48" s="20">
        <v>389421</v>
      </c>
      <c r="BG48" s="20"/>
      <c r="BH48" s="20">
        <v>374473</v>
      </c>
      <c r="BI48" s="21"/>
      <c r="BJ48" s="218"/>
      <c r="BK48" s="25">
        <v>382825</v>
      </c>
      <c r="BL48" s="20">
        <v>358077</v>
      </c>
      <c r="BM48" s="20"/>
      <c r="BN48" s="20">
        <v>395042</v>
      </c>
      <c r="BO48" s="20"/>
      <c r="BP48" s="20">
        <v>375552</v>
      </c>
      <c r="BQ48" s="21"/>
      <c r="BR48" s="218"/>
      <c r="BS48" s="25">
        <v>211958</v>
      </c>
      <c r="BT48" s="20">
        <v>211592</v>
      </c>
      <c r="BU48" s="20"/>
      <c r="BV48" s="20">
        <v>206334</v>
      </c>
      <c r="BW48" s="20"/>
      <c r="BX48" s="20">
        <v>203448</v>
      </c>
      <c r="BY48" s="21"/>
      <c r="BZ48" s="218"/>
      <c r="CA48" s="25">
        <v>221326</v>
      </c>
      <c r="CB48" s="20">
        <v>212727</v>
      </c>
      <c r="CC48" s="20"/>
      <c r="CD48" s="20">
        <v>211659</v>
      </c>
      <c r="CE48" s="20"/>
      <c r="CF48" s="20">
        <v>213409</v>
      </c>
      <c r="CG48" s="21"/>
      <c r="CH48" s="12"/>
      <c r="CI48" s="25">
        <v>177324</v>
      </c>
      <c r="CJ48" s="20">
        <v>177629</v>
      </c>
      <c r="CK48" s="20"/>
      <c r="CL48" s="20">
        <v>176706</v>
      </c>
      <c r="CM48" s="20"/>
      <c r="CN48" s="20">
        <v>174889</v>
      </c>
      <c r="CO48" s="21"/>
      <c r="CP48" s="12"/>
      <c r="CQ48" s="25">
        <v>0</v>
      </c>
      <c r="CR48" s="20">
        <v>0</v>
      </c>
      <c r="CS48" s="39"/>
      <c r="CT48" s="20">
        <v>0</v>
      </c>
      <c r="CU48" s="39"/>
      <c r="CV48" s="39">
        <v>180816</v>
      </c>
      <c r="CW48" s="40"/>
    </row>
    <row r="49" spans="1:101" s="14" customFormat="1" ht="7.5" customHeight="1" x14ac:dyDescent="0.25">
      <c r="A49" s="95"/>
      <c r="B49" s="16"/>
      <c r="C49" s="218"/>
      <c r="D49" s="218"/>
      <c r="E49" s="730"/>
      <c r="F49" s="218"/>
      <c r="G49" s="572"/>
      <c r="H49" s="406"/>
      <c r="I49" s="406"/>
      <c r="J49" s="406"/>
      <c r="K49" s="406"/>
      <c r="L49" s="406"/>
      <c r="M49" s="21"/>
      <c r="N49" s="218"/>
      <c r="O49" s="572"/>
      <c r="P49" s="406"/>
      <c r="Q49" s="406"/>
      <c r="R49" s="406"/>
      <c r="S49" s="406"/>
      <c r="T49" s="406"/>
      <c r="U49" s="406"/>
      <c r="V49" s="576"/>
      <c r="W49" s="572"/>
      <c r="X49" s="406"/>
      <c r="Y49" s="406"/>
      <c r="Z49" s="406"/>
      <c r="AA49" s="423"/>
      <c r="AB49" s="406"/>
      <c r="AC49" s="21"/>
      <c r="AD49" s="483"/>
      <c r="AE49" s="25"/>
      <c r="AF49" s="406"/>
      <c r="AG49" s="406"/>
      <c r="AH49" s="406"/>
      <c r="AI49" s="406"/>
      <c r="AJ49" s="406"/>
      <c r="AK49" s="21">
        <v>0</v>
      </c>
      <c r="AL49" s="218"/>
      <c r="AM49" s="25"/>
      <c r="AN49" s="406"/>
      <c r="AO49" s="406"/>
      <c r="AP49" s="406"/>
      <c r="AQ49" s="406"/>
      <c r="AR49" s="406"/>
      <c r="AS49" s="21"/>
      <c r="AT49" s="218"/>
      <c r="AU49" s="25"/>
      <c r="AV49" s="406"/>
      <c r="AW49" s="406"/>
      <c r="AX49" s="406"/>
      <c r="AY49" s="406"/>
      <c r="AZ49" s="406"/>
      <c r="BA49" s="21"/>
      <c r="BB49" s="218"/>
      <c r="BC49" s="25"/>
      <c r="BD49" s="20"/>
      <c r="BE49" s="20"/>
      <c r="BF49" s="20"/>
      <c r="BG49" s="20"/>
      <c r="BH49" s="20"/>
      <c r="BI49" s="21"/>
      <c r="BJ49" s="218"/>
      <c r="BK49" s="25"/>
      <c r="BL49" s="20"/>
      <c r="BM49" s="20"/>
      <c r="BN49" s="20"/>
      <c r="BO49" s="20"/>
      <c r="BP49" s="20"/>
      <c r="BQ49" s="21"/>
      <c r="BR49" s="218"/>
      <c r="BS49" s="25"/>
      <c r="BT49" s="20"/>
      <c r="BU49" s="20"/>
      <c r="BV49" s="20"/>
      <c r="BW49" s="20"/>
      <c r="BX49" s="20"/>
      <c r="BY49" s="21"/>
      <c r="BZ49" s="218"/>
      <c r="CA49" s="25"/>
      <c r="CB49" s="20"/>
      <c r="CC49" s="20"/>
      <c r="CD49" s="20"/>
      <c r="CE49" s="20"/>
      <c r="CF49" s="20"/>
      <c r="CG49" s="21"/>
      <c r="CH49" s="12"/>
      <c r="CI49" s="25"/>
      <c r="CJ49" s="20"/>
      <c r="CK49" s="20"/>
      <c r="CL49" s="20"/>
      <c r="CM49" s="20"/>
      <c r="CN49" s="20"/>
      <c r="CO49" s="21"/>
      <c r="CP49" s="12"/>
      <c r="CQ49" s="25"/>
      <c r="CR49" s="20"/>
      <c r="CS49" s="39"/>
      <c r="CT49" s="20"/>
      <c r="CU49" s="39"/>
      <c r="CV49" s="39"/>
      <c r="CW49" s="40"/>
    </row>
    <row r="50" spans="1:101" ht="15" customHeight="1" outlineLevel="1" x14ac:dyDescent="0.25">
      <c r="A50" s="95" t="s">
        <v>222</v>
      </c>
      <c r="B50" s="42" t="s">
        <v>26</v>
      </c>
      <c r="C50" s="218"/>
      <c r="D50" s="218"/>
      <c r="E50" s="745">
        <v>31212.999999999978</v>
      </c>
      <c r="F50" s="218"/>
      <c r="G50" s="573">
        <v>70214.434999999969</v>
      </c>
      <c r="H50" s="408"/>
      <c r="I50" s="408">
        <v>66714.757999999973</v>
      </c>
      <c r="J50" s="408"/>
      <c r="K50" s="408">
        <v>59713.964999999982</v>
      </c>
      <c r="L50" s="408"/>
      <c r="M50" s="29">
        <v>41714.842999999979</v>
      </c>
      <c r="N50" s="218"/>
      <c r="O50" s="573">
        <v>115735</v>
      </c>
      <c r="P50" s="408"/>
      <c r="Q50" s="408">
        <v>98887</v>
      </c>
      <c r="R50" s="408"/>
      <c r="S50" s="408">
        <v>93961</v>
      </c>
      <c r="T50" s="408"/>
      <c r="U50" s="408">
        <v>77163</v>
      </c>
      <c r="V50" s="576"/>
      <c r="W50" s="573">
        <v>160747</v>
      </c>
      <c r="X50" s="408"/>
      <c r="Y50" s="408">
        <v>144825</v>
      </c>
      <c r="Z50" s="408"/>
      <c r="AA50" s="423">
        <v>138250.97199999998</v>
      </c>
      <c r="AB50" s="408"/>
      <c r="AC50" s="29">
        <v>123033.49499999997</v>
      </c>
      <c r="AD50" s="483"/>
      <c r="AE50" s="27">
        <v>210715</v>
      </c>
      <c r="AF50" s="408">
        <v>195355</v>
      </c>
      <c r="AG50" s="408"/>
      <c r="AH50" s="408"/>
      <c r="AI50" s="549">
        <v>198404</v>
      </c>
      <c r="AJ50" s="408"/>
      <c r="AK50" s="29">
        <v>169065</v>
      </c>
      <c r="AL50" s="218"/>
      <c r="AM50" s="27">
        <v>239379</v>
      </c>
      <c r="AN50" s="408">
        <v>219440</v>
      </c>
      <c r="AO50" s="408"/>
      <c r="AP50" s="408">
        <v>208229</v>
      </c>
      <c r="AQ50" s="408"/>
      <c r="AR50" s="408">
        <v>207800</v>
      </c>
      <c r="AS50" s="29"/>
      <c r="AT50" s="218"/>
      <c r="AU50" s="27">
        <v>232835</v>
      </c>
      <c r="AV50" s="408">
        <v>220432</v>
      </c>
      <c r="AW50" s="408"/>
      <c r="AX50" s="408">
        <v>237214</v>
      </c>
      <c r="AY50" s="408"/>
      <c r="AZ50" s="408">
        <v>231889</v>
      </c>
      <c r="BA50" s="29"/>
      <c r="BB50" s="218"/>
      <c r="BC50" s="27">
        <v>267844</v>
      </c>
      <c r="BD50" s="28">
        <v>250694</v>
      </c>
      <c r="BE50" s="28"/>
      <c r="BF50" s="28">
        <v>254409</v>
      </c>
      <c r="BG50" s="28"/>
      <c r="BH50" s="28">
        <v>242316</v>
      </c>
      <c r="BI50" s="29"/>
      <c r="BJ50" s="218"/>
      <c r="BK50" s="27">
        <v>278392</v>
      </c>
      <c r="BL50" s="28">
        <v>266073</v>
      </c>
      <c r="BM50" s="28"/>
      <c r="BN50" s="28">
        <v>286096</v>
      </c>
      <c r="BO50" s="28"/>
      <c r="BP50" s="28">
        <v>263885</v>
      </c>
      <c r="BQ50" s="29"/>
      <c r="BR50" s="218"/>
      <c r="BS50" s="27">
        <v>83728</v>
      </c>
      <c r="BT50" s="28">
        <v>79258</v>
      </c>
      <c r="BU50" s="28"/>
      <c r="BV50" s="28">
        <v>75214</v>
      </c>
      <c r="BW50" s="28"/>
      <c r="BX50" s="28">
        <v>65224</v>
      </c>
      <c r="BY50" s="29"/>
      <c r="BZ50" s="218"/>
      <c r="CA50" s="27">
        <v>109463</v>
      </c>
      <c r="CB50" s="28">
        <v>96996</v>
      </c>
      <c r="CC50" s="28"/>
      <c r="CD50" s="28">
        <v>92591</v>
      </c>
      <c r="CE50" s="28"/>
      <c r="CF50" s="28">
        <v>85856</v>
      </c>
      <c r="CG50" s="29"/>
      <c r="CH50" s="6"/>
      <c r="CI50" s="27">
        <v>88317</v>
      </c>
      <c r="CJ50" s="28">
        <v>83971</v>
      </c>
      <c r="CK50" s="28"/>
      <c r="CL50" s="28">
        <v>84055</v>
      </c>
      <c r="CM50" s="28"/>
      <c r="CN50" s="28">
        <v>75898</v>
      </c>
      <c r="CO50" s="29"/>
      <c r="CP50" s="6"/>
      <c r="CQ50" s="27">
        <v>0</v>
      </c>
      <c r="CR50" s="28">
        <v>0</v>
      </c>
      <c r="CS50" s="28"/>
      <c r="CT50" s="28">
        <v>0</v>
      </c>
      <c r="CU50" s="28"/>
      <c r="CV50" s="38">
        <v>85519</v>
      </c>
      <c r="CW50" s="29"/>
    </row>
    <row r="51" spans="1:101" s="286" customFormat="1" ht="15" customHeight="1" outlineLevel="1" x14ac:dyDescent="0.4">
      <c r="A51" s="95"/>
      <c r="B51" s="5" t="s">
        <v>28</v>
      </c>
      <c r="C51" s="289"/>
      <c r="D51" s="289"/>
      <c r="E51" s="746">
        <v>58308.038999999997</v>
      </c>
      <c r="F51" s="289"/>
      <c r="G51" s="574">
        <v>59858.786000000007</v>
      </c>
      <c r="H51" s="409"/>
      <c r="I51" s="409">
        <v>65257.389999999985</v>
      </c>
      <c r="J51" s="409"/>
      <c r="K51" s="409">
        <v>65759.075999999986</v>
      </c>
      <c r="L51" s="409"/>
      <c r="M51" s="162">
        <v>59836.302999999985</v>
      </c>
      <c r="N51" s="289"/>
      <c r="O51" s="574">
        <v>57256</v>
      </c>
      <c r="P51" s="409"/>
      <c r="Q51" s="409">
        <v>64415</v>
      </c>
      <c r="R51" s="409"/>
      <c r="S51" s="409">
        <v>74236</v>
      </c>
      <c r="T51" s="409"/>
      <c r="U51" s="409">
        <v>72252</v>
      </c>
      <c r="V51" s="607"/>
      <c r="W51" s="574">
        <v>56583</v>
      </c>
      <c r="X51" s="409"/>
      <c r="Y51" s="409">
        <v>59609</v>
      </c>
      <c r="Z51" s="409"/>
      <c r="AA51" s="428">
        <f>AA52-AA50</f>
        <v>68376.434999999998</v>
      </c>
      <c r="AB51" s="409"/>
      <c r="AC51" s="162">
        <v>67438.015000000014</v>
      </c>
      <c r="AD51" s="483"/>
      <c r="AE51" s="160">
        <v>61153</v>
      </c>
      <c r="AF51" s="409">
        <v>73561</v>
      </c>
      <c r="AG51" s="409"/>
      <c r="AH51" s="409"/>
      <c r="AI51" s="410">
        <v>69705</v>
      </c>
      <c r="AJ51" s="409"/>
      <c r="AK51" s="162">
        <v>69555</v>
      </c>
      <c r="AL51" s="289"/>
      <c r="AM51" s="160">
        <v>45975</v>
      </c>
      <c r="AN51" s="409">
        <v>43652</v>
      </c>
      <c r="AO51" s="409"/>
      <c r="AP51" s="409">
        <v>62411</v>
      </c>
      <c r="AQ51" s="409"/>
      <c r="AR51" s="409">
        <v>80658</v>
      </c>
      <c r="AS51" s="162"/>
      <c r="AT51" s="289"/>
      <c r="AU51" s="160">
        <v>46438</v>
      </c>
      <c r="AV51" s="409">
        <v>56388</v>
      </c>
      <c r="AW51" s="409"/>
      <c r="AX51" s="409">
        <v>63912</v>
      </c>
      <c r="AY51" s="409"/>
      <c r="AZ51" s="409">
        <v>62758</v>
      </c>
      <c r="BA51" s="162"/>
      <c r="BB51" s="289"/>
      <c r="BC51" s="160">
        <v>54404</v>
      </c>
      <c r="BD51" s="161">
        <v>62351</v>
      </c>
      <c r="BE51" s="161"/>
      <c r="BF51" s="161">
        <v>71945</v>
      </c>
      <c r="BG51" s="161"/>
      <c r="BH51" s="161">
        <v>61091</v>
      </c>
      <c r="BI51" s="162"/>
      <c r="BJ51" s="289"/>
      <c r="BK51" s="160">
        <v>63271</v>
      </c>
      <c r="BL51" s="161">
        <v>52785</v>
      </c>
      <c r="BM51" s="161"/>
      <c r="BN51" s="161">
        <v>65507</v>
      </c>
      <c r="BO51" s="161"/>
      <c r="BP51" s="161">
        <v>58489</v>
      </c>
      <c r="BQ51" s="162"/>
      <c r="BR51" s="289"/>
      <c r="BS51" s="160">
        <v>42107</v>
      </c>
      <c r="BT51" s="161">
        <v>43121</v>
      </c>
      <c r="BU51" s="161"/>
      <c r="BV51" s="161">
        <v>39735</v>
      </c>
      <c r="BW51" s="161"/>
      <c r="BX51" s="161">
        <v>42289</v>
      </c>
      <c r="BY51" s="162"/>
      <c r="BZ51" s="289"/>
      <c r="CA51" s="160">
        <v>34286</v>
      </c>
      <c r="CB51" s="161">
        <v>35546</v>
      </c>
      <c r="CC51" s="161"/>
      <c r="CD51" s="161">
        <v>36398</v>
      </c>
      <c r="CE51" s="161"/>
      <c r="CF51" s="161">
        <v>43071</v>
      </c>
      <c r="CG51" s="162"/>
      <c r="CH51" s="284"/>
      <c r="CI51" s="160">
        <v>15854</v>
      </c>
      <c r="CJ51" s="161">
        <v>19128</v>
      </c>
      <c r="CK51" s="161"/>
      <c r="CL51" s="161">
        <v>17357</v>
      </c>
      <c r="CM51" s="161"/>
      <c r="CN51" s="161">
        <v>21576</v>
      </c>
      <c r="CO51" s="162"/>
      <c r="CP51" s="284"/>
      <c r="CQ51" s="160">
        <v>0</v>
      </c>
      <c r="CR51" s="161">
        <v>0</v>
      </c>
      <c r="CS51" s="161"/>
      <c r="CT51" s="161">
        <v>0</v>
      </c>
      <c r="CU51" s="161"/>
      <c r="CV51" s="192">
        <v>22180</v>
      </c>
      <c r="CW51" s="162"/>
    </row>
    <row r="52" spans="1:101" s="14" customFormat="1" x14ac:dyDescent="0.25">
      <c r="A52" s="95" t="s">
        <v>223</v>
      </c>
      <c r="B52" s="16" t="s">
        <v>29</v>
      </c>
      <c r="C52" s="218"/>
      <c r="D52" s="218"/>
      <c r="E52" s="730">
        <v>89521.038999999975</v>
      </c>
      <c r="F52" s="218"/>
      <c r="G52" s="572">
        <v>130073.22099999998</v>
      </c>
      <c r="H52" s="406"/>
      <c r="I52" s="406">
        <v>131972.14799999996</v>
      </c>
      <c r="J52" s="406"/>
      <c r="K52" s="406">
        <v>125473.04099999997</v>
      </c>
      <c r="L52" s="406"/>
      <c r="M52" s="21">
        <v>101551.14599999996</v>
      </c>
      <c r="N52" s="218"/>
      <c r="O52" s="572">
        <v>172991</v>
      </c>
      <c r="P52" s="406"/>
      <c r="Q52" s="406">
        <f>SUM(Q50:Q51)</f>
        <v>163302</v>
      </c>
      <c r="R52" s="406"/>
      <c r="S52" s="406">
        <f>SUM(S50:S51)</f>
        <v>168197</v>
      </c>
      <c r="T52" s="406"/>
      <c r="U52" s="406">
        <f>SUM(U50:U51)</f>
        <v>149415</v>
      </c>
      <c r="V52" s="576"/>
      <c r="W52" s="572">
        <v>217330</v>
      </c>
      <c r="X52" s="406"/>
      <c r="Y52" s="406">
        <v>204434</v>
      </c>
      <c r="Z52" s="406"/>
      <c r="AA52" s="423">
        <v>206627.40699999998</v>
      </c>
      <c r="AB52" s="406"/>
      <c r="AC52" s="21">
        <v>190471.50999999998</v>
      </c>
      <c r="AD52" s="483"/>
      <c r="AE52" s="25">
        <v>271868</v>
      </c>
      <c r="AF52" s="406">
        <v>268916</v>
      </c>
      <c r="AG52" s="406"/>
      <c r="AH52" s="406"/>
      <c r="AI52" s="406">
        <v>268109</v>
      </c>
      <c r="AJ52" s="406"/>
      <c r="AK52" s="21">
        <v>238620</v>
      </c>
      <c r="AL52" s="218"/>
      <c r="AM52" s="25">
        <v>285354</v>
      </c>
      <c r="AN52" s="406">
        <v>263092</v>
      </c>
      <c r="AO52" s="406"/>
      <c r="AP52" s="406">
        <v>270640</v>
      </c>
      <c r="AQ52" s="406"/>
      <c r="AR52" s="406">
        <v>288458</v>
      </c>
      <c r="AS52" s="21"/>
      <c r="AT52" s="218"/>
      <c r="AU52" s="25">
        <v>279273</v>
      </c>
      <c r="AV52" s="406">
        <v>276820</v>
      </c>
      <c r="AW52" s="406"/>
      <c r="AX52" s="406">
        <v>301126</v>
      </c>
      <c r="AY52" s="406"/>
      <c r="AZ52" s="406">
        <v>294647</v>
      </c>
      <c r="BA52" s="21"/>
      <c r="BB52" s="218"/>
      <c r="BC52" s="25">
        <v>322248</v>
      </c>
      <c r="BD52" s="20">
        <v>313045</v>
      </c>
      <c r="BE52" s="20"/>
      <c r="BF52" s="20">
        <v>326354</v>
      </c>
      <c r="BG52" s="20"/>
      <c r="BH52" s="20">
        <v>303407</v>
      </c>
      <c r="BI52" s="21"/>
      <c r="BJ52" s="218"/>
      <c r="BK52" s="25">
        <v>341663</v>
      </c>
      <c r="BL52" s="20">
        <v>318858</v>
      </c>
      <c r="BM52" s="20"/>
      <c r="BN52" s="20">
        <v>351603</v>
      </c>
      <c r="BO52" s="20"/>
      <c r="BP52" s="20">
        <v>322374</v>
      </c>
      <c r="BQ52" s="21"/>
      <c r="BR52" s="218"/>
      <c r="BS52" s="25">
        <v>125835</v>
      </c>
      <c r="BT52" s="20">
        <v>122379</v>
      </c>
      <c r="BU52" s="20"/>
      <c r="BV52" s="20">
        <v>114949</v>
      </c>
      <c r="BW52" s="20"/>
      <c r="BX52" s="20">
        <v>107513</v>
      </c>
      <c r="BY52" s="21"/>
      <c r="BZ52" s="218"/>
      <c r="CA52" s="25">
        <v>143749</v>
      </c>
      <c r="CB52" s="20">
        <v>132542</v>
      </c>
      <c r="CC52" s="20"/>
      <c r="CD52" s="20">
        <v>128989</v>
      </c>
      <c r="CE52" s="20"/>
      <c r="CF52" s="20">
        <v>128927</v>
      </c>
      <c r="CG52" s="21"/>
      <c r="CH52" s="12"/>
      <c r="CI52" s="25">
        <v>104171</v>
      </c>
      <c r="CJ52" s="20">
        <v>103099</v>
      </c>
      <c r="CK52" s="20"/>
      <c r="CL52" s="20">
        <v>101412</v>
      </c>
      <c r="CM52" s="20"/>
      <c r="CN52" s="20">
        <v>97474</v>
      </c>
      <c r="CO52" s="21"/>
      <c r="CP52" s="12"/>
      <c r="CQ52" s="25">
        <v>0</v>
      </c>
      <c r="CR52" s="20">
        <v>0</v>
      </c>
      <c r="CS52" s="20"/>
      <c r="CT52" s="20">
        <v>0</v>
      </c>
      <c r="CU52" s="20"/>
      <c r="CV52" s="39">
        <v>107699</v>
      </c>
      <c r="CW52" s="21"/>
    </row>
    <row r="53" spans="1:101" s="14" customFormat="1" ht="7.5" customHeight="1" x14ac:dyDescent="0.25">
      <c r="A53" s="95"/>
      <c r="B53" s="16"/>
      <c r="C53" s="218"/>
      <c r="D53" s="218"/>
      <c r="E53" s="730"/>
      <c r="F53" s="218"/>
      <c r="G53" s="572"/>
      <c r="H53" s="406"/>
      <c r="I53" s="406"/>
      <c r="J53" s="406"/>
      <c r="K53" s="406"/>
      <c r="L53" s="406"/>
      <c r="M53" s="21"/>
      <c r="N53" s="218"/>
      <c r="O53" s="572"/>
      <c r="P53" s="406"/>
      <c r="Q53" s="406"/>
      <c r="R53" s="406"/>
      <c r="S53" s="406"/>
      <c r="T53" s="406"/>
      <c r="U53" s="406"/>
      <c r="V53" s="576"/>
      <c r="W53" s="572"/>
      <c r="X53" s="406"/>
      <c r="Y53" s="406"/>
      <c r="Z53" s="406"/>
      <c r="AA53" s="423"/>
      <c r="AB53" s="406"/>
      <c r="AC53" s="21"/>
      <c r="AD53" s="483"/>
      <c r="AE53" s="25"/>
      <c r="AF53" s="406"/>
      <c r="AG53" s="406"/>
      <c r="AH53" s="406"/>
      <c r="AI53" s="406"/>
      <c r="AJ53" s="406"/>
      <c r="AK53" s="21">
        <v>0</v>
      </c>
      <c r="AL53" s="218"/>
      <c r="AM53" s="25"/>
      <c r="AN53" s="406"/>
      <c r="AO53" s="406"/>
      <c r="AP53" s="406"/>
      <c r="AQ53" s="406"/>
      <c r="AR53" s="406"/>
      <c r="AS53" s="21"/>
      <c r="AT53" s="218"/>
      <c r="AU53" s="25"/>
      <c r="AV53" s="406"/>
      <c r="AW53" s="406"/>
      <c r="AX53" s="406"/>
      <c r="AY53" s="406"/>
      <c r="AZ53" s="406"/>
      <c r="BA53" s="21"/>
      <c r="BB53" s="218"/>
      <c r="BC53" s="25"/>
      <c r="BD53" s="20"/>
      <c r="BE53" s="20"/>
      <c r="BF53" s="20"/>
      <c r="BG53" s="20"/>
      <c r="BH53" s="20"/>
      <c r="BI53" s="21"/>
      <c r="BJ53" s="218"/>
      <c r="BK53" s="25"/>
      <c r="BL53" s="20"/>
      <c r="BM53" s="20"/>
      <c r="BN53" s="20"/>
      <c r="BO53" s="20"/>
      <c r="BP53" s="20"/>
      <c r="BQ53" s="21"/>
      <c r="BR53" s="218"/>
      <c r="BS53" s="25"/>
      <c r="BT53" s="20"/>
      <c r="BU53" s="20"/>
      <c r="BV53" s="20"/>
      <c r="BW53" s="20"/>
      <c r="BX53" s="20"/>
      <c r="BY53" s="21"/>
      <c r="BZ53" s="218"/>
      <c r="CA53" s="25"/>
      <c r="CB53" s="20"/>
      <c r="CC53" s="20"/>
      <c r="CD53" s="20"/>
      <c r="CE53" s="20"/>
      <c r="CF53" s="20"/>
      <c r="CG53" s="21"/>
      <c r="CH53" s="12"/>
      <c r="CI53" s="25"/>
      <c r="CJ53" s="20"/>
      <c r="CK53" s="20"/>
      <c r="CL53" s="20"/>
      <c r="CM53" s="20"/>
      <c r="CN53" s="20"/>
      <c r="CO53" s="21"/>
      <c r="CP53" s="12"/>
      <c r="CQ53" s="25"/>
      <c r="CR53" s="20"/>
      <c r="CS53" s="20"/>
      <c r="CT53" s="20"/>
      <c r="CU53" s="20"/>
      <c r="CV53" s="39"/>
      <c r="CW53" s="21"/>
    </row>
    <row r="54" spans="1:101" s="14" customFormat="1" x14ac:dyDescent="0.25">
      <c r="A54" s="95" t="s">
        <v>224</v>
      </c>
      <c r="B54" s="16" t="s">
        <v>36</v>
      </c>
      <c r="C54" s="218"/>
      <c r="D54" s="218"/>
      <c r="E54" s="730">
        <v>133538.93101999987</v>
      </c>
      <c r="F54" s="218"/>
      <c r="G54" s="572">
        <v>106023.93201999985</v>
      </c>
      <c r="H54" s="406"/>
      <c r="I54" s="406">
        <v>111709.55701999983</v>
      </c>
      <c r="J54" s="406"/>
      <c r="K54" s="406">
        <v>117505.17501999985</v>
      </c>
      <c r="L54" s="406"/>
      <c r="M54" s="21">
        <v>128652.35901999984</v>
      </c>
      <c r="N54" s="218"/>
      <c r="O54" s="572">
        <v>90218</v>
      </c>
      <c r="P54" s="406"/>
      <c r="Q54" s="406">
        <v>93549</v>
      </c>
      <c r="R54" s="406"/>
      <c r="S54" s="406">
        <v>95486</v>
      </c>
      <c r="T54" s="406"/>
      <c r="U54" s="406">
        <v>102564</v>
      </c>
      <c r="V54" s="576"/>
      <c r="W54" s="572">
        <v>80332</v>
      </c>
      <c r="X54" s="406"/>
      <c r="Y54" s="406">
        <v>82763</v>
      </c>
      <c r="Z54" s="406"/>
      <c r="AA54" s="423">
        <v>84911.865019999837</v>
      </c>
      <c r="AB54" s="406"/>
      <c r="AC54" s="21">
        <v>88944.939019999831</v>
      </c>
      <c r="AD54" s="483"/>
      <c r="AE54" s="25">
        <v>77058</v>
      </c>
      <c r="AF54" s="406">
        <v>79621.077019999808</v>
      </c>
      <c r="AG54" s="406"/>
      <c r="AH54" s="406"/>
      <c r="AI54" s="406">
        <v>79397</v>
      </c>
      <c r="AJ54" s="406"/>
      <c r="AK54" s="21">
        <v>80706</v>
      </c>
      <c r="AL54" s="218"/>
      <c r="AM54" s="25">
        <v>76450</v>
      </c>
      <c r="AN54" s="406">
        <v>78128</v>
      </c>
      <c r="AO54" s="406"/>
      <c r="AP54" s="406">
        <v>78549</v>
      </c>
      <c r="AQ54" s="406"/>
      <c r="AR54" s="406">
        <v>77061</v>
      </c>
      <c r="AS54" s="21"/>
      <c r="AT54" s="218"/>
      <c r="AU54" s="25">
        <v>71429</v>
      </c>
      <c r="AV54" s="406">
        <v>70671</v>
      </c>
      <c r="AW54" s="406"/>
      <c r="AX54" s="406">
        <v>73785</v>
      </c>
      <c r="AY54" s="406"/>
      <c r="AZ54" s="406">
        <v>76065</v>
      </c>
      <c r="BA54" s="21"/>
      <c r="BB54" s="218"/>
      <c r="BC54" s="25">
        <v>55226</v>
      </c>
      <c r="BD54" s="20">
        <v>56936</v>
      </c>
      <c r="BE54" s="20"/>
      <c r="BF54" s="20">
        <v>63067</v>
      </c>
      <c r="BG54" s="20"/>
      <c r="BH54" s="20">
        <v>71066</v>
      </c>
      <c r="BI54" s="21"/>
      <c r="BJ54" s="218"/>
      <c r="BK54" s="25">
        <v>41162</v>
      </c>
      <c r="BL54" s="20">
        <v>39219</v>
      </c>
      <c r="BM54" s="20"/>
      <c r="BN54" s="20">
        <v>43439</v>
      </c>
      <c r="BO54" s="20"/>
      <c r="BP54" s="20">
        <v>53178</v>
      </c>
      <c r="BQ54" s="21"/>
      <c r="BR54" s="218"/>
      <c r="BS54" s="25">
        <v>86123</v>
      </c>
      <c r="BT54" s="20">
        <v>89213</v>
      </c>
      <c r="BU54" s="20"/>
      <c r="BV54" s="20">
        <v>91385</v>
      </c>
      <c r="BW54" s="20"/>
      <c r="BX54" s="20">
        <v>95935</v>
      </c>
      <c r="BY54" s="21"/>
      <c r="BZ54" s="218"/>
      <c r="CA54" s="25">
        <v>77577</v>
      </c>
      <c r="CB54" s="20">
        <v>80185</v>
      </c>
      <c r="CC54" s="20"/>
      <c r="CD54" s="20">
        <v>82670</v>
      </c>
      <c r="CE54" s="20"/>
      <c r="CF54" s="20">
        <v>84482</v>
      </c>
      <c r="CG54" s="21"/>
      <c r="CH54" s="12"/>
      <c r="CI54" s="25">
        <v>73153</v>
      </c>
      <c r="CJ54" s="20">
        <v>74530</v>
      </c>
      <c r="CK54" s="20"/>
      <c r="CL54" s="20">
        <v>75294</v>
      </c>
      <c r="CM54" s="20"/>
      <c r="CN54" s="20">
        <v>77415</v>
      </c>
      <c r="CO54" s="21"/>
      <c r="CP54" s="12"/>
      <c r="CQ54" s="25">
        <v>0</v>
      </c>
      <c r="CR54" s="20">
        <v>0</v>
      </c>
      <c r="CS54" s="20"/>
      <c r="CT54" s="20">
        <v>0</v>
      </c>
      <c r="CU54" s="20"/>
      <c r="CV54" s="39">
        <v>73117</v>
      </c>
      <c r="CW54" s="21"/>
    </row>
    <row r="55" spans="1:101" ht="7.5" customHeight="1" x14ac:dyDescent="0.25">
      <c r="A55" s="95"/>
      <c r="B55" s="5"/>
      <c r="C55" s="218"/>
      <c r="D55" s="218"/>
      <c r="E55" s="747"/>
      <c r="F55" s="218"/>
      <c r="G55" s="575"/>
      <c r="H55" s="406"/>
      <c r="I55" s="406"/>
      <c r="J55" s="406"/>
      <c r="K55" s="406"/>
      <c r="L55" s="406"/>
      <c r="M55" s="21"/>
      <c r="N55" s="218"/>
      <c r="O55" s="575"/>
      <c r="P55" s="406"/>
      <c r="Q55" s="406"/>
      <c r="R55" s="406"/>
      <c r="S55" s="406"/>
      <c r="T55" s="406"/>
      <c r="U55" s="406"/>
      <c r="V55" s="576"/>
      <c r="W55" s="575"/>
      <c r="X55" s="406"/>
      <c r="Y55" s="406"/>
      <c r="Z55" s="406"/>
      <c r="AA55" s="445"/>
      <c r="AB55" s="406"/>
      <c r="AC55" s="21"/>
      <c r="AD55" s="483"/>
      <c r="AE55" s="25"/>
      <c r="AF55" s="406"/>
      <c r="AG55" s="406"/>
      <c r="AH55" s="406"/>
      <c r="AI55" s="406"/>
      <c r="AJ55" s="406"/>
      <c r="AK55" s="21">
        <v>0</v>
      </c>
      <c r="AL55" s="218"/>
      <c r="AM55" s="25"/>
      <c r="AN55" s="406"/>
      <c r="AO55" s="406"/>
      <c r="AP55" s="406"/>
      <c r="AQ55" s="406"/>
      <c r="AR55" s="406"/>
      <c r="AS55" s="21"/>
      <c r="AT55" s="218"/>
      <c r="AU55" s="25"/>
      <c r="AV55" s="406"/>
      <c r="AW55" s="406"/>
      <c r="AX55" s="406"/>
      <c r="AY55" s="406"/>
      <c r="AZ55" s="406"/>
      <c r="BA55" s="21"/>
      <c r="BB55" s="218"/>
      <c r="BC55" s="25"/>
      <c r="BD55" s="20"/>
      <c r="BE55" s="20"/>
      <c r="BF55" s="20"/>
      <c r="BG55" s="20"/>
      <c r="BH55" s="20"/>
      <c r="BI55" s="21"/>
      <c r="BJ55" s="218"/>
      <c r="BK55" s="25"/>
      <c r="BL55" s="20"/>
      <c r="BM55" s="20"/>
      <c r="BN55" s="20"/>
      <c r="BO55" s="20"/>
      <c r="BP55" s="20"/>
      <c r="BQ55" s="21"/>
      <c r="BR55" s="218"/>
      <c r="BS55" s="25"/>
      <c r="BT55" s="20"/>
      <c r="BU55" s="20"/>
      <c r="BV55" s="20"/>
      <c r="BW55" s="20"/>
      <c r="BX55" s="20"/>
      <c r="BY55" s="21"/>
      <c r="BZ55" s="218"/>
      <c r="CA55" s="25"/>
      <c r="CB55" s="20"/>
      <c r="CC55" s="20"/>
      <c r="CD55" s="20"/>
      <c r="CE55" s="20"/>
      <c r="CF55" s="20"/>
      <c r="CG55" s="21"/>
      <c r="CH55" s="6"/>
      <c r="CI55" s="25"/>
      <c r="CJ55" s="20"/>
      <c r="CK55" s="20"/>
      <c r="CL55" s="20"/>
      <c r="CM55" s="20"/>
      <c r="CN55" s="20"/>
      <c r="CO55" s="21"/>
      <c r="CP55" s="6"/>
      <c r="CQ55" s="25"/>
      <c r="CR55" s="20"/>
      <c r="CS55" s="36"/>
      <c r="CT55" s="20"/>
      <c r="CU55" s="36"/>
      <c r="CV55" s="36"/>
      <c r="CW55" s="37"/>
    </row>
    <row r="56" spans="1:101" s="14" customFormat="1" x14ac:dyDescent="0.25">
      <c r="A56" s="95" t="s">
        <v>231</v>
      </c>
      <c r="B56" s="16" t="s">
        <v>66</v>
      </c>
      <c r="C56" s="218"/>
      <c r="D56" s="218"/>
      <c r="E56" s="732">
        <v>239</v>
      </c>
      <c r="F56" s="218"/>
      <c r="G56" s="639">
        <v>304</v>
      </c>
      <c r="H56" s="653">
        <f>I56-G56</f>
        <v>444</v>
      </c>
      <c r="I56" s="532">
        <v>748</v>
      </c>
      <c r="J56" s="653">
        <f>K56-I56</f>
        <v>1023</v>
      </c>
      <c r="K56" s="532">
        <v>1771</v>
      </c>
      <c r="L56" s="653">
        <f>M56-K56</f>
        <v>1286</v>
      </c>
      <c r="M56" s="640">
        <v>3057</v>
      </c>
      <c r="N56" s="218"/>
      <c r="O56" s="575">
        <v>814</v>
      </c>
      <c r="P56" s="454">
        <v>1004</v>
      </c>
      <c r="Q56" s="454">
        <v>1818</v>
      </c>
      <c r="R56" s="454">
        <v>1538</v>
      </c>
      <c r="S56" s="454">
        <v>3356</v>
      </c>
      <c r="T56" s="454">
        <f>U56-S56</f>
        <v>2234</v>
      </c>
      <c r="U56" s="454">
        <v>5590</v>
      </c>
      <c r="V56" s="576"/>
      <c r="W56" s="575">
        <v>581</v>
      </c>
      <c r="X56" s="454">
        <f>Y56-W56</f>
        <v>744</v>
      </c>
      <c r="Y56" s="454">
        <v>1325</v>
      </c>
      <c r="Z56" s="454">
        <f>AA56-Y56</f>
        <v>271</v>
      </c>
      <c r="AA56" s="454">
        <v>1596</v>
      </c>
      <c r="AB56" s="454">
        <f>AC56-AA56</f>
        <v>3441</v>
      </c>
      <c r="AC56" s="372">
        <v>5037</v>
      </c>
      <c r="AD56" s="483"/>
      <c r="AE56" s="25">
        <v>981</v>
      </c>
      <c r="AF56" s="532">
        <f>AG56-AE56</f>
        <v>917</v>
      </c>
      <c r="AG56" s="406">
        <v>1898</v>
      </c>
      <c r="AH56" s="406">
        <f t="shared" ref="AH56" si="35">AI56-AG56</f>
        <v>654</v>
      </c>
      <c r="AI56" s="406">
        <v>2552</v>
      </c>
      <c r="AJ56" s="454"/>
      <c r="AK56" s="372">
        <v>4200</v>
      </c>
      <c r="AL56" s="218"/>
      <c r="AM56" s="25">
        <v>884</v>
      </c>
      <c r="AN56" s="406">
        <v>671</v>
      </c>
      <c r="AO56" s="406">
        <v>1555</v>
      </c>
      <c r="AP56" s="406">
        <v>439</v>
      </c>
      <c r="AQ56" s="454">
        <v>1994</v>
      </c>
      <c r="AR56" s="454">
        <f>AS56-AQ56</f>
        <v>686</v>
      </c>
      <c r="AS56" s="372">
        <v>2680</v>
      </c>
      <c r="AT56" s="328"/>
      <c r="AU56" s="25">
        <v>326</v>
      </c>
      <c r="AV56" s="442">
        <v>589</v>
      </c>
      <c r="AW56" s="406">
        <v>915</v>
      </c>
      <c r="AX56" s="442">
        <v>146</v>
      </c>
      <c r="AY56" s="406">
        <v>1061</v>
      </c>
      <c r="AZ56" s="406">
        <v>316</v>
      </c>
      <c r="BA56" s="21">
        <v>1377</v>
      </c>
      <c r="BB56" s="218"/>
      <c r="BC56" s="25">
        <v>452</v>
      </c>
      <c r="BD56" s="103">
        <v>769</v>
      </c>
      <c r="BE56" s="20">
        <v>1221</v>
      </c>
      <c r="BF56" s="103">
        <v>-289</v>
      </c>
      <c r="BG56" s="20">
        <v>932</v>
      </c>
      <c r="BH56" s="103">
        <v>899</v>
      </c>
      <c r="BI56" s="21">
        <v>1831</v>
      </c>
      <c r="BJ56" s="218"/>
      <c r="BK56" s="25">
        <v>384</v>
      </c>
      <c r="BL56" s="103">
        <v>658</v>
      </c>
      <c r="BM56" s="20">
        <v>1042</v>
      </c>
      <c r="BN56" s="103">
        <v>1278</v>
      </c>
      <c r="BO56" s="20">
        <v>2320</v>
      </c>
      <c r="BP56" s="103">
        <v>374</v>
      </c>
      <c r="BQ56" s="21">
        <v>2694</v>
      </c>
      <c r="BR56" s="218"/>
      <c r="BS56" s="25">
        <v>367</v>
      </c>
      <c r="BT56" s="103">
        <v>699</v>
      </c>
      <c r="BU56" s="20">
        <v>1066</v>
      </c>
      <c r="BV56" s="103">
        <v>307</v>
      </c>
      <c r="BW56" s="20">
        <v>1373</v>
      </c>
      <c r="BX56" s="103">
        <v>970</v>
      </c>
      <c r="BY56" s="21">
        <v>2343</v>
      </c>
      <c r="BZ56" s="218"/>
      <c r="CA56" s="25">
        <v>538</v>
      </c>
      <c r="CB56" s="20">
        <v>411</v>
      </c>
      <c r="CC56" s="20">
        <v>949</v>
      </c>
      <c r="CD56" s="20">
        <v>459</v>
      </c>
      <c r="CE56" s="20">
        <v>1408</v>
      </c>
      <c r="CF56" s="20">
        <v>379</v>
      </c>
      <c r="CG56" s="21">
        <v>1787</v>
      </c>
      <c r="CH56" s="12"/>
      <c r="CI56" s="25">
        <v>161</v>
      </c>
      <c r="CJ56" s="20">
        <v>466</v>
      </c>
      <c r="CK56" s="20">
        <v>627</v>
      </c>
      <c r="CL56" s="20">
        <v>420</v>
      </c>
      <c r="CM56" s="20">
        <v>1047</v>
      </c>
      <c r="CN56" s="20">
        <v>881</v>
      </c>
      <c r="CO56" s="21">
        <v>1928</v>
      </c>
      <c r="CP56" s="12"/>
      <c r="CQ56" s="25">
        <v>0</v>
      </c>
      <c r="CR56" s="20">
        <v>0</v>
      </c>
      <c r="CS56" s="39">
        <v>0</v>
      </c>
      <c r="CT56" s="20">
        <v>0</v>
      </c>
      <c r="CU56" s="39">
        <v>0</v>
      </c>
      <c r="CV56" s="39">
        <v>126</v>
      </c>
      <c r="CW56" s="40">
        <v>126</v>
      </c>
    </row>
    <row r="57" spans="1:101" s="14" customFormat="1" ht="12.75" customHeight="1" x14ac:dyDescent="0.25">
      <c r="A57" s="95"/>
      <c r="B57" s="16"/>
      <c r="C57" s="218"/>
      <c r="D57" s="218"/>
      <c r="E57" s="732"/>
      <c r="F57" s="218"/>
      <c r="G57" s="639"/>
      <c r="H57" s="532"/>
      <c r="I57" s="532"/>
      <c r="J57" s="532"/>
      <c r="K57" s="532"/>
      <c r="L57" s="532"/>
      <c r="M57" s="640"/>
      <c r="N57" s="218"/>
      <c r="O57" s="575"/>
      <c r="P57" s="406"/>
      <c r="Q57" s="406"/>
      <c r="R57" s="406"/>
      <c r="S57" s="406"/>
      <c r="T57" s="406"/>
      <c r="U57" s="406"/>
      <c r="V57" s="576"/>
      <c r="W57" s="575"/>
      <c r="X57" s="406"/>
      <c r="Y57" s="406"/>
      <c r="Z57" s="406"/>
      <c r="AA57" s="445"/>
      <c r="AB57" s="406"/>
      <c r="AC57" s="372"/>
      <c r="AD57" s="483"/>
      <c r="AE57" s="25"/>
      <c r="AF57" s="406"/>
      <c r="AG57" s="406"/>
      <c r="AH57" s="406"/>
      <c r="AI57" s="406"/>
      <c r="AJ57" s="454"/>
      <c r="AK57" s="372">
        <v>0</v>
      </c>
      <c r="AL57" s="218"/>
      <c r="AM57" s="25"/>
      <c r="AN57" s="406"/>
      <c r="AO57" s="406"/>
      <c r="AP57" s="406"/>
      <c r="AQ57" s="454"/>
      <c r="AR57" s="454"/>
      <c r="AS57" s="372"/>
      <c r="AT57" s="328"/>
      <c r="AU57" s="25"/>
      <c r="AV57" s="442"/>
      <c r="AW57" s="406"/>
      <c r="AX57" s="406"/>
      <c r="AY57" s="406"/>
      <c r="AZ57" s="406"/>
      <c r="BA57" s="21"/>
      <c r="BB57" s="218"/>
      <c r="BC57" s="25"/>
      <c r="BD57" s="103"/>
      <c r="BE57" s="20"/>
      <c r="BF57" s="103"/>
      <c r="BG57" s="20"/>
      <c r="BH57" s="103"/>
      <c r="BI57" s="21"/>
      <c r="BJ57" s="218"/>
      <c r="BK57" s="25"/>
      <c r="BL57" s="103"/>
      <c r="BM57" s="20"/>
      <c r="BN57" s="103"/>
      <c r="BO57" s="20"/>
      <c r="BP57" s="103"/>
      <c r="BQ57" s="21"/>
      <c r="BR57" s="218"/>
      <c r="BS57" s="25"/>
      <c r="BT57" s="103"/>
      <c r="BU57" s="20"/>
      <c r="BV57" s="103"/>
      <c r="BW57" s="20"/>
      <c r="BX57" s="103"/>
      <c r="BY57" s="21"/>
      <c r="BZ57" s="218"/>
      <c r="CA57" s="25"/>
      <c r="CB57" s="20"/>
      <c r="CC57" s="20"/>
      <c r="CD57" s="20"/>
      <c r="CE57" s="20"/>
      <c r="CF57" s="20"/>
      <c r="CG57" s="21"/>
      <c r="CH57" s="12"/>
      <c r="CI57" s="25"/>
      <c r="CJ57" s="20"/>
      <c r="CK57" s="20"/>
      <c r="CL57" s="20"/>
      <c r="CM57" s="20"/>
      <c r="CN57" s="20"/>
      <c r="CO57" s="21"/>
      <c r="CP57" s="12"/>
      <c r="CQ57" s="25"/>
      <c r="CR57" s="20"/>
      <c r="CS57" s="39"/>
      <c r="CT57" s="20"/>
      <c r="CU57" s="39"/>
      <c r="CV57" s="39"/>
      <c r="CW57" s="40"/>
    </row>
    <row r="58" spans="1:101" s="14" customFormat="1" x14ac:dyDescent="0.25">
      <c r="A58" s="95" t="s">
        <v>232</v>
      </c>
      <c r="B58" s="419" t="s">
        <v>170</v>
      </c>
      <c r="C58" s="218"/>
      <c r="D58" s="218"/>
      <c r="E58" s="732">
        <v>44</v>
      </c>
      <c r="F58" s="218"/>
      <c r="G58" s="639">
        <v>0</v>
      </c>
      <c r="H58" s="532">
        <v>0</v>
      </c>
      <c r="I58" s="532">
        <v>0</v>
      </c>
      <c r="J58" s="532">
        <v>0</v>
      </c>
      <c r="K58" s="532">
        <v>0</v>
      </c>
      <c r="L58" s="532">
        <v>0</v>
      </c>
      <c r="M58" s="640">
        <v>0</v>
      </c>
      <c r="N58" s="218"/>
      <c r="O58" s="575">
        <v>0</v>
      </c>
      <c r="P58" s="532">
        <v>0</v>
      </c>
      <c r="Q58" s="406">
        <v>0</v>
      </c>
      <c r="R58" s="532">
        <v>0</v>
      </c>
      <c r="S58" s="406">
        <v>0</v>
      </c>
      <c r="T58" s="532">
        <v>0</v>
      </c>
      <c r="U58" s="406">
        <v>0</v>
      </c>
      <c r="V58" s="576"/>
      <c r="W58" s="575">
        <v>0</v>
      </c>
      <c r="X58" s="532">
        <f>Y58-W58</f>
        <v>0</v>
      </c>
      <c r="Y58" s="406">
        <v>0</v>
      </c>
      <c r="Z58" s="532">
        <f>AA58-Y58</f>
        <v>0</v>
      </c>
      <c r="AA58" s="445">
        <v>0</v>
      </c>
      <c r="AB58" s="532">
        <f>AC58-AA58</f>
        <v>0</v>
      </c>
      <c r="AC58" s="372">
        <v>0</v>
      </c>
      <c r="AD58" s="483"/>
      <c r="AE58" s="25">
        <v>0</v>
      </c>
      <c r="AF58" s="406"/>
      <c r="AG58" s="406"/>
      <c r="AH58" s="406"/>
      <c r="AI58" s="406"/>
      <c r="AJ58" s="454"/>
      <c r="AK58" s="372">
        <v>0</v>
      </c>
      <c r="AL58" s="218"/>
      <c r="AM58" s="25">
        <v>0</v>
      </c>
      <c r="AN58" s="406">
        <v>0</v>
      </c>
      <c r="AO58" s="406">
        <v>0</v>
      </c>
      <c r="AP58" s="406">
        <v>0</v>
      </c>
      <c r="AQ58" s="454">
        <v>0</v>
      </c>
      <c r="AR58" s="454">
        <v>0</v>
      </c>
      <c r="AS58" s="372">
        <v>0</v>
      </c>
      <c r="AT58" s="328"/>
      <c r="AU58" s="25">
        <v>447</v>
      </c>
      <c r="AV58" s="442">
        <v>492</v>
      </c>
      <c r="AW58" s="406">
        <v>939</v>
      </c>
      <c r="AX58" s="406">
        <v>1924</v>
      </c>
      <c r="AY58" s="406">
        <v>2863</v>
      </c>
      <c r="AZ58" s="406">
        <v>1890</v>
      </c>
      <c r="BA58" s="21">
        <v>4753</v>
      </c>
      <c r="BB58" s="218"/>
      <c r="BC58" s="25">
        <v>420</v>
      </c>
      <c r="BD58" s="103">
        <v>526</v>
      </c>
      <c r="BE58" s="20">
        <v>946</v>
      </c>
      <c r="BF58" s="103">
        <v>2332</v>
      </c>
      <c r="BG58" s="20">
        <v>3278</v>
      </c>
      <c r="BH58" s="103">
        <v>661</v>
      </c>
      <c r="BI58" s="21">
        <v>3939</v>
      </c>
      <c r="BJ58" s="218"/>
      <c r="BK58" s="25">
        <v>0</v>
      </c>
      <c r="BL58" s="103">
        <v>0</v>
      </c>
      <c r="BM58" s="20">
        <v>0</v>
      </c>
      <c r="BN58" s="103">
        <v>0</v>
      </c>
      <c r="BO58" s="20">
        <v>0</v>
      </c>
      <c r="BP58" s="103">
        <v>520</v>
      </c>
      <c r="BQ58" s="21">
        <v>520</v>
      </c>
      <c r="BR58" s="218"/>
      <c r="BS58" s="25">
        <v>0</v>
      </c>
      <c r="BT58" s="103">
        <v>0</v>
      </c>
      <c r="BU58" s="20">
        <v>0</v>
      </c>
      <c r="BV58" s="103">
        <v>0</v>
      </c>
      <c r="BW58" s="20">
        <v>0</v>
      </c>
      <c r="BX58" s="103">
        <v>0</v>
      </c>
      <c r="BY58" s="21">
        <v>0</v>
      </c>
      <c r="BZ58" s="218"/>
      <c r="CA58" s="25">
        <v>722</v>
      </c>
      <c r="CB58" s="103">
        <v>133</v>
      </c>
      <c r="CC58" s="20">
        <v>855</v>
      </c>
      <c r="CD58" s="103">
        <v>160</v>
      </c>
      <c r="CE58" s="20">
        <v>1015</v>
      </c>
      <c r="CF58" s="103">
        <v>128</v>
      </c>
      <c r="CG58" s="21">
        <v>1143</v>
      </c>
      <c r="CH58" s="12"/>
      <c r="CI58" s="25"/>
      <c r="CJ58" s="20"/>
      <c r="CK58" s="20"/>
      <c r="CL58" s="20"/>
      <c r="CM58" s="20"/>
      <c r="CN58" s="20"/>
      <c r="CO58" s="21"/>
      <c r="CP58" s="12"/>
      <c r="CQ58" s="25"/>
      <c r="CR58" s="20"/>
      <c r="CS58" s="39"/>
      <c r="CT58" s="20"/>
      <c r="CU58" s="39"/>
      <c r="CV58" s="39"/>
      <c r="CW58" s="40"/>
    </row>
    <row r="59" spans="1:101" s="14" customFormat="1" ht="7.5" customHeight="1" x14ac:dyDescent="0.25">
      <c r="A59" s="95"/>
      <c r="B59" s="16"/>
      <c r="C59" s="218"/>
      <c r="D59" s="218"/>
      <c r="E59" s="578"/>
      <c r="F59" s="218"/>
      <c r="G59" s="25"/>
      <c r="H59" s="406"/>
      <c r="I59" s="406"/>
      <c r="J59" s="406"/>
      <c r="K59" s="406"/>
      <c r="L59" s="406"/>
      <c r="M59" s="21"/>
      <c r="N59" s="218"/>
      <c r="O59" s="25"/>
      <c r="P59" s="406"/>
      <c r="Q59" s="406"/>
      <c r="R59" s="406"/>
      <c r="S59" s="406"/>
      <c r="T59" s="406"/>
      <c r="U59" s="21"/>
      <c r="V59" s="576"/>
      <c r="W59" s="25"/>
      <c r="X59" s="406"/>
      <c r="Y59" s="406"/>
      <c r="Z59" s="406"/>
      <c r="AA59" s="406"/>
      <c r="AB59" s="406"/>
      <c r="AC59" s="21"/>
      <c r="AD59" s="483"/>
      <c r="AE59" s="25"/>
      <c r="AF59" s="406"/>
      <c r="AG59" s="406"/>
      <c r="AH59" s="406"/>
      <c r="AI59" s="406"/>
      <c r="AJ59" s="406"/>
      <c r="AK59" s="21"/>
      <c r="AL59" s="218"/>
      <c r="AM59" s="25"/>
      <c r="AN59" s="406"/>
      <c r="AO59" s="406"/>
      <c r="AP59" s="406"/>
      <c r="AQ59" s="454"/>
      <c r="AR59" s="454"/>
      <c r="AS59" s="372"/>
      <c r="AT59" s="328"/>
      <c r="AU59" s="25"/>
      <c r="AV59" s="406"/>
      <c r="AW59" s="406"/>
      <c r="AX59" s="406"/>
      <c r="AY59" s="406"/>
      <c r="AZ59" s="406"/>
      <c r="BA59" s="21"/>
      <c r="BB59" s="218"/>
      <c r="BC59" s="25"/>
      <c r="BD59" s="20"/>
      <c r="BE59" s="20"/>
      <c r="BF59" s="20"/>
      <c r="BG59" s="20"/>
      <c r="BH59" s="20"/>
      <c r="BI59" s="21"/>
      <c r="BJ59" s="218"/>
      <c r="BK59" s="25"/>
      <c r="BL59" s="20"/>
      <c r="BM59" s="20"/>
      <c r="BN59" s="20"/>
      <c r="BO59" s="20"/>
      <c r="BP59" s="20"/>
      <c r="BQ59" s="21"/>
      <c r="BR59" s="218"/>
      <c r="BS59" s="25"/>
      <c r="BT59" s="20"/>
      <c r="BU59" s="20"/>
      <c r="BV59" s="20"/>
      <c r="BW59" s="20"/>
      <c r="BX59" s="20"/>
      <c r="BY59" s="21"/>
      <c r="BZ59" s="218"/>
      <c r="CA59" s="25"/>
      <c r="CB59" s="20"/>
      <c r="CC59" s="20"/>
      <c r="CD59" s="20"/>
      <c r="CE59" s="20"/>
      <c r="CF59" s="20"/>
      <c r="CG59" s="21"/>
      <c r="CH59" s="12"/>
      <c r="CI59" s="25"/>
      <c r="CJ59" s="20"/>
      <c r="CK59" s="20"/>
      <c r="CL59" s="20"/>
      <c r="CM59" s="20"/>
      <c r="CN59" s="20"/>
      <c r="CO59" s="21"/>
      <c r="CP59" s="12"/>
      <c r="CQ59" s="25"/>
      <c r="CR59" s="39"/>
      <c r="CS59" s="39"/>
      <c r="CT59" s="26"/>
      <c r="CU59" s="39"/>
      <c r="CV59" s="39"/>
      <c r="CW59" s="40"/>
    </row>
    <row r="60" spans="1:101" s="14" customFormat="1" x14ac:dyDescent="0.25">
      <c r="A60" s="95"/>
      <c r="B60" s="43" t="s">
        <v>67</v>
      </c>
      <c r="C60" s="218"/>
      <c r="D60" s="218"/>
      <c r="E60" s="578"/>
      <c r="F60" s="218"/>
      <c r="G60" s="25"/>
      <c r="H60" s="406"/>
      <c r="I60" s="406"/>
      <c r="J60" s="406"/>
      <c r="K60" s="406"/>
      <c r="L60" s="406"/>
      <c r="M60" s="21"/>
      <c r="N60" s="218"/>
      <c r="O60" s="25"/>
      <c r="P60" s="406"/>
      <c r="Q60" s="406"/>
      <c r="R60" s="406"/>
      <c r="S60" s="406"/>
      <c r="T60" s="406"/>
      <c r="U60" s="21"/>
      <c r="V60" s="576"/>
      <c r="W60" s="25"/>
      <c r="X60" s="406"/>
      <c r="Y60" s="406"/>
      <c r="Z60" s="406"/>
      <c r="AA60" s="406"/>
      <c r="AB60" s="406"/>
      <c r="AC60" s="21"/>
      <c r="AD60" s="483"/>
      <c r="AE60" s="25"/>
      <c r="AF60" s="406"/>
      <c r="AG60" s="406"/>
      <c r="AH60" s="406"/>
      <c r="AI60" s="406"/>
      <c r="AJ60" s="406"/>
      <c r="AK60" s="21"/>
      <c r="AL60" s="218"/>
      <c r="AM60" s="25"/>
      <c r="AN60" s="406"/>
      <c r="AO60" s="406"/>
      <c r="AP60" s="406"/>
      <c r="AQ60" s="454"/>
      <c r="AR60" s="454"/>
      <c r="AS60" s="372"/>
      <c r="AT60" s="328"/>
      <c r="AU60" s="25"/>
      <c r="AV60" s="406"/>
      <c r="AW60" s="406"/>
      <c r="AX60" s="406"/>
      <c r="AY60" s="406"/>
      <c r="AZ60" s="406"/>
      <c r="BA60" s="21"/>
      <c r="BB60" s="218"/>
      <c r="BC60" s="25"/>
      <c r="BD60" s="20"/>
      <c r="BE60" s="20"/>
      <c r="BF60" s="20"/>
      <c r="BG60" s="20"/>
      <c r="BH60" s="20"/>
      <c r="BI60" s="21"/>
      <c r="BJ60" s="218"/>
      <c r="BK60" s="25"/>
      <c r="BL60" s="20"/>
      <c r="BM60" s="20"/>
      <c r="BN60" s="20"/>
      <c r="BO60" s="20"/>
      <c r="BP60" s="20"/>
      <c r="BQ60" s="21"/>
      <c r="BR60" s="218"/>
      <c r="BS60" s="25"/>
      <c r="BT60" s="20"/>
      <c r="BU60" s="20"/>
      <c r="BV60" s="20"/>
      <c r="BW60" s="20"/>
      <c r="BX60" s="20"/>
      <c r="BY60" s="21"/>
      <c r="BZ60" s="218"/>
      <c r="CA60" s="25"/>
      <c r="CB60" s="20"/>
      <c r="CC60" s="20"/>
      <c r="CD60" s="20"/>
      <c r="CE60" s="20"/>
      <c r="CF60" s="20"/>
      <c r="CG60" s="21"/>
      <c r="CH60" s="12"/>
      <c r="CI60" s="25"/>
      <c r="CJ60" s="20"/>
      <c r="CK60" s="20"/>
      <c r="CL60" s="20"/>
      <c r="CM60" s="20"/>
      <c r="CN60" s="20"/>
      <c r="CO60" s="21"/>
      <c r="CP60" s="12"/>
      <c r="CQ60" s="25"/>
      <c r="CR60" s="26"/>
      <c r="CS60" s="39"/>
      <c r="CT60" s="26"/>
      <c r="CU60" s="39"/>
      <c r="CV60" s="26"/>
      <c r="CW60" s="40"/>
    </row>
    <row r="61" spans="1:101" s="14" customFormat="1" x14ac:dyDescent="0.25">
      <c r="A61" s="95"/>
      <c r="B61" s="16" t="s">
        <v>68</v>
      </c>
      <c r="C61" s="218"/>
      <c r="D61" s="218"/>
      <c r="E61" s="578"/>
      <c r="F61" s="218"/>
      <c r="G61" s="25"/>
      <c r="H61" s="406"/>
      <c r="I61" s="406"/>
      <c r="J61" s="406"/>
      <c r="K61" s="406"/>
      <c r="L61" s="406"/>
      <c r="M61" s="645">
        <v>0.98399999999999999</v>
      </c>
      <c r="N61" s="218"/>
      <c r="O61" s="25"/>
      <c r="P61" s="406"/>
      <c r="Q61" s="406"/>
      <c r="R61" s="406"/>
      <c r="S61" s="406"/>
      <c r="T61" s="406"/>
      <c r="U61" s="557">
        <v>0.98499999999999999</v>
      </c>
      <c r="V61" s="576"/>
      <c r="W61" s="25"/>
      <c r="X61" s="406"/>
      <c r="Y61" s="406"/>
      <c r="Z61" s="406"/>
      <c r="AA61" s="406"/>
      <c r="AB61" s="406"/>
      <c r="AC61" s="557">
        <v>0.99399999999999999</v>
      </c>
      <c r="AD61" s="483"/>
      <c r="AE61" s="25"/>
      <c r="AF61" s="406"/>
      <c r="AG61" s="406"/>
      <c r="AH61" s="406"/>
      <c r="AI61" s="406"/>
      <c r="AJ61" s="406"/>
      <c r="AK61" s="557">
        <v>0.99399999999999999</v>
      </c>
      <c r="AL61" s="218"/>
      <c r="AM61" s="25"/>
      <c r="AN61" s="406"/>
      <c r="AO61" s="406"/>
      <c r="AP61" s="406"/>
      <c r="AQ61" s="454"/>
      <c r="AR61" s="395">
        <v>1</v>
      </c>
      <c r="AS61" s="372"/>
      <c r="AT61" s="328"/>
      <c r="AU61" s="25"/>
      <c r="AV61" s="450"/>
      <c r="AW61" s="406"/>
      <c r="AX61" s="406"/>
      <c r="AY61" s="406"/>
      <c r="AZ61" s="45">
        <v>1</v>
      </c>
      <c r="BA61" s="21"/>
      <c r="BB61" s="218"/>
      <c r="BC61" s="25"/>
      <c r="BD61" s="20"/>
      <c r="BE61" s="20"/>
      <c r="BF61" s="20"/>
      <c r="BG61" s="20"/>
      <c r="BH61" s="45">
        <v>1</v>
      </c>
      <c r="BI61" s="21"/>
      <c r="BJ61" s="218"/>
      <c r="BK61" s="25"/>
      <c r="BL61" s="20"/>
      <c r="BM61" s="20"/>
      <c r="BN61" s="20"/>
      <c r="BO61" s="20"/>
      <c r="BP61" s="45">
        <v>1</v>
      </c>
      <c r="BQ61" s="21"/>
      <c r="BR61" s="218"/>
      <c r="BS61" s="25"/>
      <c r="BT61" s="20"/>
      <c r="BU61" s="20"/>
      <c r="BV61" s="20"/>
      <c r="BW61" s="20"/>
      <c r="BX61" s="45">
        <v>1</v>
      </c>
      <c r="BY61" s="21"/>
      <c r="BZ61" s="218"/>
      <c r="CA61" s="25"/>
      <c r="CB61" s="20"/>
      <c r="CC61" s="20"/>
      <c r="CD61" s="20"/>
      <c r="CE61" s="20"/>
      <c r="CF61" s="45">
        <v>1</v>
      </c>
      <c r="CG61" s="21"/>
      <c r="CH61" s="12"/>
      <c r="CI61" s="25"/>
      <c r="CJ61" s="20"/>
      <c r="CK61" s="20"/>
      <c r="CL61" s="20"/>
      <c r="CM61" s="20"/>
      <c r="CN61" s="45">
        <v>1</v>
      </c>
      <c r="CO61" s="21"/>
      <c r="CP61" s="12"/>
      <c r="CQ61" s="25"/>
      <c r="CR61" s="39"/>
      <c r="CS61" s="46"/>
      <c r="CT61" s="26"/>
      <c r="CU61" s="46"/>
      <c r="CV61" s="47">
        <v>1</v>
      </c>
      <c r="CW61" s="48"/>
    </row>
    <row r="62" spans="1:101" s="14" customFormat="1" ht="15.75" thickBot="1" x14ac:dyDescent="0.3">
      <c r="A62" s="95"/>
      <c r="B62" s="12" t="s">
        <v>69</v>
      </c>
      <c r="C62" s="218"/>
      <c r="D62" s="218"/>
      <c r="E62" s="749"/>
      <c r="F62" s="218"/>
      <c r="G62" s="50"/>
      <c r="H62" s="51"/>
      <c r="I62" s="51"/>
      <c r="J62" s="51"/>
      <c r="K62" s="51"/>
      <c r="L62" s="51"/>
      <c r="M62" s="646">
        <v>0.92200000000000004</v>
      </c>
      <c r="N62" s="218"/>
      <c r="O62" s="50"/>
      <c r="P62" s="51"/>
      <c r="Q62" s="51"/>
      <c r="R62" s="51"/>
      <c r="S62" s="51"/>
      <c r="T62" s="51"/>
      <c r="U62" s="558">
        <v>0.91600000000000004</v>
      </c>
      <c r="V62" s="576"/>
      <c r="W62" s="50"/>
      <c r="X62" s="51"/>
      <c r="Y62" s="51"/>
      <c r="Z62" s="51"/>
      <c r="AA62" s="51"/>
      <c r="AB62" s="51"/>
      <c r="AC62" s="558">
        <v>0.876</v>
      </c>
      <c r="AD62" s="483"/>
      <c r="AE62" s="50"/>
      <c r="AF62" s="51"/>
      <c r="AG62" s="51"/>
      <c r="AH62" s="51"/>
      <c r="AI62" s="51"/>
      <c r="AJ62" s="51"/>
      <c r="AK62" s="558">
        <v>0.90700000000000003</v>
      </c>
      <c r="AL62" s="218"/>
      <c r="AM62" s="50"/>
      <c r="AN62" s="51"/>
      <c r="AO62" s="51"/>
      <c r="AP62" s="51"/>
      <c r="AQ62" s="51"/>
      <c r="AR62" s="52">
        <v>0.871</v>
      </c>
      <c r="AS62" s="53"/>
      <c r="AT62" s="218"/>
      <c r="AU62" s="50"/>
      <c r="AV62" s="52"/>
      <c r="AW62" s="51"/>
      <c r="AX62" s="51"/>
      <c r="AY62" s="51"/>
      <c r="AZ62" s="52">
        <v>0.88500000000000001</v>
      </c>
      <c r="BA62" s="53"/>
      <c r="BB62" s="218"/>
      <c r="BC62" s="50"/>
      <c r="BD62" s="51"/>
      <c r="BE62" s="51"/>
      <c r="BF62" s="51"/>
      <c r="BG62" s="51"/>
      <c r="BH62" s="52">
        <v>0.88500000000000001</v>
      </c>
      <c r="BI62" s="53"/>
      <c r="BJ62" s="218"/>
      <c r="BK62" s="50"/>
      <c r="BL62" s="51"/>
      <c r="BM62" s="51"/>
      <c r="BN62" s="51"/>
      <c r="BO62" s="51"/>
      <c r="BP62" s="52">
        <v>0.88900000000000001</v>
      </c>
      <c r="BQ62" s="53"/>
      <c r="BR62" s="218"/>
      <c r="BS62" s="50"/>
      <c r="BT62" s="51"/>
      <c r="BU62" s="51"/>
      <c r="BV62" s="51"/>
      <c r="BW62" s="51"/>
      <c r="BX62" s="52">
        <v>0.89500000000000002</v>
      </c>
      <c r="BY62" s="53"/>
      <c r="BZ62" s="250"/>
      <c r="CA62" s="50"/>
      <c r="CB62" s="51"/>
      <c r="CC62" s="51"/>
      <c r="CD62" s="51"/>
      <c r="CE62" s="51"/>
      <c r="CF62" s="52">
        <v>0.89500000000000002</v>
      </c>
      <c r="CG62" s="53"/>
      <c r="CH62" s="54"/>
      <c r="CI62" s="50"/>
      <c r="CJ62" s="51"/>
      <c r="CK62" s="51"/>
      <c r="CL62" s="51"/>
      <c r="CM62" s="51"/>
      <c r="CN62" s="52">
        <v>0.89700000000000002</v>
      </c>
      <c r="CO62" s="53"/>
      <c r="CP62" s="54"/>
      <c r="CQ62" s="50"/>
      <c r="CR62" s="55"/>
      <c r="CS62" s="56"/>
      <c r="CT62" s="57"/>
      <c r="CU62" s="56"/>
      <c r="CV62" s="58">
        <v>0.91700000000000004</v>
      </c>
      <c r="CW62" s="59"/>
    </row>
    <row r="63" spans="1:101" s="14" customFormat="1" x14ac:dyDescent="0.25">
      <c r="A63" s="95"/>
      <c r="C63" s="61"/>
      <c r="D63" s="61"/>
      <c r="E63" s="528"/>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I63" s="61"/>
      <c r="CJ63" s="61"/>
      <c r="CK63" s="62"/>
      <c r="CL63" s="62"/>
      <c r="CM63" s="62"/>
      <c r="CN63" s="62"/>
      <c r="CO63" s="62"/>
      <c r="CQ63" s="63"/>
      <c r="CR63" s="64"/>
      <c r="CS63" s="64"/>
      <c r="CU63" s="64"/>
      <c r="CV63" s="64"/>
    </row>
    <row r="64" spans="1:101" s="95" customFormat="1" outlineLevel="1" x14ac:dyDescent="0.25">
      <c r="B64" s="275" t="s">
        <v>37</v>
      </c>
      <c r="E64" s="276">
        <f t="shared" ref="E64" si="36">E18-E19-E20</f>
        <v>0</v>
      </c>
      <c r="G64" s="276">
        <f t="shared" ref="G64:M64" si="37">G18-G19-G20</f>
        <v>0</v>
      </c>
      <c r="H64" s="276">
        <f t="shared" si="37"/>
        <v>0</v>
      </c>
      <c r="I64" s="276">
        <f t="shared" si="37"/>
        <v>0</v>
      </c>
      <c r="J64" s="276">
        <f t="shared" si="37"/>
        <v>0</v>
      </c>
      <c r="K64" s="276">
        <f t="shared" si="37"/>
        <v>0</v>
      </c>
      <c r="L64" s="276">
        <f t="shared" si="37"/>
        <v>0</v>
      </c>
      <c r="M64" s="276">
        <f t="shared" si="37"/>
        <v>0</v>
      </c>
      <c r="O64" s="276">
        <f t="shared" ref="O64:U64" si="38">O18-O19-O20</f>
        <v>0</v>
      </c>
      <c r="P64" s="276">
        <f t="shared" si="38"/>
        <v>0</v>
      </c>
      <c r="Q64" s="276">
        <f t="shared" si="38"/>
        <v>0</v>
      </c>
      <c r="R64" s="276">
        <f t="shared" si="38"/>
        <v>0</v>
      </c>
      <c r="S64" s="276">
        <f t="shared" si="38"/>
        <v>0</v>
      </c>
      <c r="T64" s="276">
        <f t="shared" si="38"/>
        <v>0</v>
      </c>
      <c r="U64" s="276">
        <f t="shared" si="38"/>
        <v>0</v>
      </c>
      <c r="W64" s="276">
        <f t="shared" ref="W64:AC64" si="39">W18-W19-W20</f>
        <v>0</v>
      </c>
      <c r="X64" s="276">
        <f t="shared" si="39"/>
        <v>0</v>
      </c>
      <c r="Y64" s="276">
        <f t="shared" si="39"/>
        <v>0</v>
      </c>
      <c r="Z64" s="276">
        <f t="shared" si="39"/>
        <v>0</v>
      </c>
      <c r="AA64" s="276">
        <f t="shared" si="39"/>
        <v>0</v>
      </c>
      <c r="AB64" s="276">
        <f t="shared" si="39"/>
        <v>0</v>
      </c>
      <c r="AC64" s="276">
        <f t="shared" si="39"/>
        <v>0</v>
      </c>
      <c r="AE64" s="276">
        <f t="shared" ref="AE64:AK64" si="40">AE18-AE19-AE20</f>
        <v>0</v>
      </c>
      <c r="AF64" s="276">
        <f t="shared" si="40"/>
        <v>0.19800000000395812</v>
      </c>
      <c r="AG64" s="276">
        <f t="shared" si="40"/>
        <v>0.19800000000395812</v>
      </c>
      <c r="AH64" s="276">
        <f t="shared" si="40"/>
        <v>-0.19800000000395812</v>
      </c>
      <c r="AI64" s="276">
        <f t="shared" si="40"/>
        <v>0</v>
      </c>
      <c r="AJ64" s="276">
        <f t="shared" si="40"/>
        <v>0</v>
      </c>
      <c r="AK64" s="276">
        <f t="shared" si="40"/>
        <v>0</v>
      </c>
      <c r="AM64" s="276">
        <f t="shared" ref="AM64:AS64" si="41">AM18-AM19-AM20</f>
        <v>0</v>
      </c>
      <c r="AN64" s="276">
        <f t="shared" si="41"/>
        <v>0</v>
      </c>
      <c r="AO64" s="276">
        <f t="shared" si="41"/>
        <v>0</v>
      </c>
      <c r="AP64" s="276">
        <f t="shared" si="41"/>
        <v>0</v>
      </c>
      <c r="AQ64" s="276">
        <f t="shared" si="41"/>
        <v>0</v>
      </c>
      <c r="AR64" s="276">
        <f t="shared" si="41"/>
        <v>0</v>
      </c>
      <c r="AS64" s="276">
        <f t="shared" si="41"/>
        <v>0</v>
      </c>
      <c r="AU64" s="276">
        <f t="shared" ref="AU64:BA64" si="42">AU18-AU19-AU20</f>
        <v>0</v>
      </c>
      <c r="AV64" s="276">
        <f t="shared" si="42"/>
        <v>0</v>
      </c>
      <c r="AW64" s="276">
        <f t="shared" si="42"/>
        <v>0</v>
      </c>
      <c r="AX64" s="276">
        <f t="shared" si="42"/>
        <v>0</v>
      </c>
      <c r="AY64" s="276">
        <f t="shared" si="42"/>
        <v>0</v>
      </c>
      <c r="AZ64" s="276">
        <f t="shared" si="42"/>
        <v>0</v>
      </c>
      <c r="BA64" s="276">
        <f t="shared" si="42"/>
        <v>0</v>
      </c>
      <c r="BC64" s="276">
        <f t="shared" ref="BC64:BI64" si="43">BC18-BC19-BC20</f>
        <v>0</v>
      </c>
      <c r="BD64" s="276">
        <f t="shared" si="43"/>
        <v>0</v>
      </c>
      <c r="BE64" s="276">
        <f t="shared" si="43"/>
        <v>0</v>
      </c>
      <c r="BF64" s="276">
        <f t="shared" si="43"/>
        <v>0</v>
      </c>
      <c r="BG64" s="276">
        <f t="shared" si="43"/>
        <v>0</v>
      </c>
      <c r="BH64" s="276">
        <f t="shared" si="43"/>
        <v>0</v>
      </c>
      <c r="BI64" s="276">
        <f t="shared" si="43"/>
        <v>0</v>
      </c>
      <c r="BK64" s="276">
        <f t="shared" ref="BK64:BQ64" si="44">BK18-BK19-BK20</f>
        <v>0</v>
      </c>
      <c r="BL64" s="276">
        <f t="shared" si="44"/>
        <v>0</v>
      </c>
      <c r="BM64" s="276">
        <f t="shared" si="44"/>
        <v>0</v>
      </c>
      <c r="BN64" s="276">
        <f t="shared" si="44"/>
        <v>0</v>
      </c>
      <c r="BO64" s="276">
        <f t="shared" si="44"/>
        <v>0</v>
      </c>
      <c r="BP64" s="276">
        <f t="shared" si="44"/>
        <v>0</v>
      </c>
      <c r="BQ64" s="276">
        <f t="shared" si="44"/>
        <v>0</v>
      </c>
      <c r="BS64" s="276">
        <f t="shared" ref="BS64:BY64" si="45">BS18-BS19-BS20</f>
        <v>0</v>
      </c>
      <c r="BT64" s="276">
        <f t="shared" si="45"/>
        <v>0</v>
      </c>
      <c r="BU64" s="276">
        <f t="shared" si="45"/>
        <v>0</v>
      </c>
      <c r="BV64" s="276">
        <f t="shared" si="45"/>
        <v>0</v>
      </c>
      <c r="BW64" s="276">
        <f t="shared" si="45"/>
        <v>0</v>
      </c>
      <c r="BX64" s="276">
        <f t="shared" si="45"/>
        <v>0</v>
      </c>
      <c r="BY64" s="276">
        <f t="shared" si="45"/>
        <v>0</v>
      </c>
      <c r="CA64" s="276">
        <f t="shared" ref="CA64:CG64" si="46">CA18-CA19-CA20</f>
        <v>0</v>
      </c>
      <c r="CB64" s="276">
        <f t="shared" si="46"/>
        <v>0</v>
      </c>
      <c r="CC64" s="276">
        <f t="shared" si="46"/>
        <v>0</v>
      </c>
      <c r="CD64" s="276">
        <f t="shared" si="46"/>
        <v>0</v>
      </c>
      <c r="CE64" s="276">
        <f t="shared" si="46"/>
        <v>0</v>
      </c>
      <c r="CF64" s="276">
        <f t="shared" si="46"/>
        <v>0</v>
      </c>
      <c r="CG64" s="276">
        <f t="shared" si="46"/>
        <v>0</v>
      </c>
      <c r="CI64" s="276">
        <f t="shared" ref="CI64:CO64" si="47">CI18-CI19-CI20</f>
        <v>0</v>
      </c>
      <c r="CJ64" s="276">
        <f t="shared" si="47"/>
        <v>0</v>
      </c>
      <c r="CK64" s="276">
        <f t="shared" si="47"/>
        <v>0</v>
      </c>
      <c r="CL64" s="276">
        <f t="shared" si="47"/>
        <v>0</v>
      </c>
      <c r="CM64" s="276">
        <f t="shared" si="47"/>
        <v>0</v>
      </c>
      <c r="CN64" s="276">
        <f t="shared" si="47"/>
        <v>0</v>
      </c>
      <c r="CO64" s="276">
        <f t="shared" si="47"/>
        <v>0</v>
      </c>
      <c r="CQ64" s="276">
        <f t="shared" ref="CQ64:CW64" si="48">CQ18-CQ19-CQ20</f>
        <v>0</v>
      </c>
      <c r="CR64" s="276">
        <f t="shared" si="48"/>
        <v>0</v>
      </c>
      <c r="CS64" s="276">
        <f t="shared" si="48"/>
        <v>0</v>
      </c>
      <c r="CT64" s="276">
        <f t="shared" si="48"/>
        <v>0</v>
      </c>
      <c r="CU64" s="276">
        <f t="shared" si="48"/>
        <v>0</v>
      </c>
      <c r="CV64" s="276">
        <f t="shared" si="48"/>
        <v>0</v>
      </c>
      <c r="CW64" s="276">
        <f t="shared" si="48"/>
        <v>0</v>
      </c>
    </row>
    <row r="65" spans="1:101" s="95" customFormat="1" outlineLevel="1" x14ac:dyDescent="0.25">
      <c r="B65" s="277" t="s">
        <v>38</v>
      </c>
      <c r="E65" s="276">
        <f t="shared" ref="E65" si="49">E20-SUM(E21:E24)-E25</f>
        <v>0</v>
      </c>
      <c r="G65" s="276">
        <f t="shared" ref="G65:H65" si="50">G20-SUM(G21:G24)-G25</f>
        <v>0</v>
      </c>
      <c r="H65" s="276">
        <f t="shared" si="50"/>
        <v>0</v>
      </c>
      <c r="I65" s="276">
        <f>I20-SUM(I21:I24)-I25</f>
        <v>0</v>
      </c>
      <c r="J65" s="276">
        <f t="shared" ref="J65:M65" si="51">J20-SUM(J21:J24)-J25</f>
        <v>0</v>
      </c>
      <c r="K65" s="276">
        <f t="shared" si="51"/>
        <v>0</v>
      </c>
      <c r="L65" s="276">
        <f t="shared" si="51"/>
        <v>0</v>
      </c>
      <c r="M65" s="276">
        <f t="shared" si="51"/>
        <v>0</v>
      </c>
      <c r="O65" s="276">
        <f t="shared" ref="O65:P65" si="52">O20-SUM(O21:O24)-O25</f>
        <v>0</v>
      </c>
      <c r="P65" s="276">
        <f t="shared" si="52"/>
        <v>0</v>
      </c>
      <c r="Q65" s="276">
        <f>Q20-SUM(Q21:Q24)-Q25</f>
        <v>0</v>
      </c>
      <c r="R65" s="276">
        <f t="shared" ref="R65:U65" si="53">R20-SUM(R21:R24)-R25</f>
        <v>0</v>
      </c>
      <c r="S65" s="276">
        <f t="shared" si="53"/>
        <v>0</v>
      </c>
      <c r="T65" s="276">
        <f t="shared" si="53"/>
        <v>0</v>
      </c>
      <c r="U65" s="276">
        <f t="shared" si="53"/>
        <v>0</v>
      </c>
      <c r="W65" s="276">
        <f t="shared" ref="W65:AC65" si="54">W20-SUM(W21:W24)-W25</f>
        <v>0</v>
      </c>
      <c r="X65" s="276">
        <f t="shared" si="54"/>
        <v>0</v>
      </c>
      <c r="Y65" s="276">
        <f>Y20-SUM(Y21:Y24)-Y25</f>
        <v>0</v>
      </c>
      <c r="Z65" s="276">
        <f t="shared" si="54"/>
        <v>0</v>
      </c>
      <c r="AA65" s="276">
        <f t="shared" si="54"/>
        <v>0</v>
      </c>
      <c r="AB65" s="276">
        <f t="shared" si="54"/>
        <v>0</v>
      </c>
      <c r="AC65" s="276">
        <f t="shared" si="54"/>
        <v>0</v>
      </c>
      <c r="AE65" s="276">
        <f t="shared" ref="AE65:AK65" si="55">AE20-SUM(AE21:AE24)-AE25</f>
        <v>0</v>
      </c>
      <c r="AF65" s="276">
        <f t="shared" si="55"/>
        <v>0</v>
      </c>
      <c r="AG65" s="276">
        <f t="shared" si="55"/>
        <v>0</v>
      </c>
      <c r="AH65" s="276">
        <f t="shared" si="55"/>
        <v>0</v>
      </c>
      <c r="AI65" s="276">
        <f t="shared" si="55"/>
        <v>0</v>
      </c>
      <c r="AJ65" s="276">
        <f t="shared" si="55"/>
        <v>0</v>
      </c>
      <c r="AK65" s="276">
        <f t="shared" si="55"/>
        <v>0</v>
      </c>
      <c r="AM65" s="276">
        <f t="shared" ref="AM65:AS65" si="56">AM20-SUM(AM21:AM24)-AM25</f>
        <v>0</v>
      </c>
      <c r="AN65" s="276">
        <f t="shared" si="56"/>
        <v>0</v>
      </c>
      <c r="AO65" s="276">
        <f t="shared" si="56"/>
        <v>0</v>
      </c>
      <c r="AP65" s="276">
        <f t="shared" si="56"/>
        <v>0</v>
      </c>
      <c r="AQ65" s="276">
        <f t="shared" si="56"/>
        <v>0</v>
      </c>
      <c r="AR65" s="276">
        <f t="shared" si="56"/>
        <v>0</v>
      </c>
      <c r="AS65" s="276">
        <f t="shared" si="56"/>
        <v>0</v>
      </c>
      <c r="AU65" s="276">
        <f t="shared" ref="AU65:BA65" si="57">AU20-SUM(AU21:AU24)-AU25</f>
        <v>0</v>
      </c>
      <c r="AV65" s="276">
        <f t="shared" si="57"/>
        <v>0</v>
      </c>
      <c r="AW65" s="276">
        <f t="shared" si="57"/>
        <v>0</v>
      </c>
      <c r="AX65" s="276">
        <f t="shared" si="57"/>
        <v>0</v>
      </c>
      <c r="AY65" s="276">
        <f t="shared" si="57"/>
        <v>0</v>
      </c>
      <c r="AZ65" s="276">
        <f t="shared" si="57"/>
        <v>0</v>
      </c>
      <c r="BA65" s="276">
        <f t="shared" si="57"/>
        <v>0</v>
      </c>
      <c r="BC65" s="276">
        <f t="shared" ref="BC65:BI65" si="58">BC20-SUM(BC21:BC24)-BC25</f>
        <v>0</v>
      </c>
      <c r="BD65" s="276">
        <f t="shared" si="58"/>
        <v>0</v>
      </c>
      <c r="BE65" s="276">
        <f t="shared" si="58"/>
        <v>0</v>
      </c>
      <c r="BF65" s="276">
        <f t="shared" si="58"/>
        <v>0</v>
      </c>
      <c r="BG65" s="276">
        <f t="shared" si="58"/>
        <v>0</v>
      </c>
      <c r="BH65" s="276">
        <f t="shared" si="58"/>
        <v>0</v>
      </c>
      <c r="BI65" s="276">
        <f t="shared" si="58"/>
        <v>0</v>
      </c>
      <c r="BK65" s="276">
        <f t="shared" ref="BK65:BQ65" si="59">BK20-SUM(BK21:BK24)-BK25</f>
        <v>0</v>
      </c>
      <c r="BL65" s="276">
        <f t="shared" si="59"/>
        <v>0</v>
      </c>
      <c r="BM65" s="276">
        <f t="shared" si="59"/>
        <v>0</v>
      </c>
      <c r="BN65" s="276">
        <f t="shared" si="59"/>
        <v>0</v>
      </c>
      <c r="BO65" s="276">
        <f t="shared" si="59"/>
        <v>0</v>
      </c>
      <c r="BP65" s="276">
        <f t="shared" si="59"/>
        <v>0</v>
      </c>
      <c r="BQ65" s="276">
        <f t="shared" si="59"/>
        <v>0</v>
      </c>
      <c r="BS65" s="276">
        <f t="shared" ref="BS65:BY65" si="60">BS20-SUM(BS21:BS24)-BS25</f>
        <v>0</v>
      </c>
      <c r="BT65" s="276">
        <f t="shared" si="60"/>
        <v>0</v>
      </c>
      <c r="BU65" s="276">
        <f t="shared" si="60"/>
        <v>0</v>
      </c>
      <c r="BV65" s="276">
        <f t="shared" si="60"/>
        <v>0</v>
      </c>
      <c r="BW65" s="276">
        <f t="shared" si="60"/>
        <v>0</v>
      </c>
      <c r="BX65" s="276">
        <f t="shared" si="60"/>
        <v>0</v>
      </c>
      <c r="BY65" s="276">
        <f t="shared" si="60"/>
        <v>0</v>
      </c>
      <c r="CA65" s="276">
        <f t="shared" ref="CA65:CG65" si="61">CA20-SUM(CA21:CA24)-CA25</f>
        <v>0</v>
      </c>
      <c r="CB65" s="276">
        <f t="shared" si="61"/>
        <v>0</v>
      </c>
      <c r="CC65" s="276">
        <f t="shared" si="61"/>
        <v>0</v>
      </c>
      <c r="CD65" s="276">
        <f t="shared" si="61"/>
        <v>0</v>
      </c>
      <c r="CE65" s="276">
        <f t="shared" si="61"/>
        <v>0</v>
      </c>
      <c r="CF65" s="276">
        <f t="shared" si="61"/>
        <v>0</v>
      </c>
      <c r="CG65" s="276">
        <f t="shared" si="61"/>
        <v>0</v>
      </c>
      <c r="CI65" s="276">
        <f t="shared" ref="CI65:CO65" si="62">CI20-SUM(CI21:CI24)-CI25</f>
        <v>0</v>
      </c>
      <c r="CJ65" s="276">
        <f t="shared" si="62"/>
        <v>0</v>
      </c>
      <c r="CK65" s="276">
        <f t="shared" si="62"/>
        <v>0</v>
      </c>
      <c r="CL65" s="276">
        <f t="shared" si="62"/>
        <v>0</v>
      </c>
      <c r="CM65" s="276">
        <f t="shared" si="62"/>
        <v>0</v>
      </c>
      <c r="CN65" s="276">
        <f t="shared" si="62"/>
        <v>0</v>
      </c>
      <c r="CO65" s="276">
        <f t="shared" si="62"/>
        <v>0</v>
      </c>
      <c r="CQ65" s="276">
        <f t="shared" ref="CQ65:CW65" si="63">CQ20-SUM(CQ21:CQ24)-CQ25</f>
        <v>0</v>
      </c>
      <c r="CR65" s="276">
        <f t="shared" si="63"/>
        <v>0</v>
      </c>
      <c r="CS65" s="276">
        <f t="shared" si="63"/>
        <v>0</v>
      </c>
      <c r="CT65" s="276">
        <f t="shared" si="63"/>
        <v>0</v>
      </c>
      <c r="CU65" s="276">
        <f t="shared" si="63"/>
        <v>0</v>
      </c>
      <c r="CV65" s="276">
        <f t="shared" si="63"/>
        <v>0</v>
      </c>
      <c r="CW65" s="276">
        <f t="shared" si="63"/>
        <v>0</v>
      </c>
    </row>
    <row r="66" spans="1:101" s="95" customFormat="1" outlineLevel="1" x14ac:dyDescent="0.25">
      <c r="B66" s="277" t="s">
        <v>24</v>
      </c>
      <c r="E66" s="276">
        <f t="shared" ref="E66" si="64">E25-SUM(E26:E29)-E30</f>
        <v>0</v>
      </c>
      <c r="G66" s="276">
        <f t="shared" ref="G66:M66" si="65">G25-SUM(G26:G29)-G30</f>
        <v>0</v>
      </c>
      <c r="H66" s="276">
        <f t="shared" si="65"/>
        <v>0</v>
      </c>
      <c r="I66" s="276">
        <f t="shared" si="65"/>
        <v>0</v>
      </c>
      <c r="J66" s="276">
        <f t="shared" si="65"/>
        <v>0</v>
      </c>
      <c r="K66" s="276">
        <f t="shared" si="65"/>
        <v>0</v>
      </c>
      <c r="L66" s="276">
        <f t="shared" si="65"/>
        <v>0</v>
      </c>
      <c r="M66" s="276">
        <f t="shared" si="65"/>
        <v>0</v>
      </c>
      <c r="O66" s="276">
        <f t="shared" ref="O66:U66" si="66">O25-SUM(O26:O29)-O30</f>
        <v>0</v>
      </c>
      <c r="P66" s="276">
        <f t="shared" si="66"/>
        <v>0</v>
      </c>
      <c r="Q66" s="276">
        <f t="shared" si="66"/>
        <v>0</v>
      </c>
      <c r="R66" s="276">
        <f t="shared" si="66"/>
        <v>0</v>
      </c>
      <c r="S66" s="276">
        <f t="shared" si="66"/>
        <v>0</v>
      </c>
      <c r="T66" s="276">
        <f t="shared" si="66"/>
        <v>0</v>
      </c>
      <c r="U66" s="276">
        <f t="shared" si="66"/>
        <v>0</v>
      </c>
      <c r="W66" s="276">
        <f t="shared" ref="W66:AC66" si="67">W25-SUM(W26:W29)-W30</f>
        <v>0</v>
      </c>
      <c r="X66" s="276">
        <f t="shared" si="67"/>
        <v>0</v>
      </c>
      <c r="Y66" s="276">
        <f t="shared" si="67"/>
        <v>0</v>
      </c>
      <c r="Z66" s="276">
        <f t="shared" si="67"/>
        <v>0</v>
      </c>
      <c r="AA66" s="276">
        <f t="shared" si="67"/>
        <v>0</v>
      </c>
      <c r="AB66" s="276">
        <f t="shared" si="67"/>
        <v>0</v>
      </c>
      <c r="AC66" s="276">
        <f t="shared" si="67"/>
        <v>0</v>
      </c>
      <c r="AE66" s="276">
        <f t="shared" ref="AE66:AK66" si="68">AE25-SUM(AE26:AE29)-AE30</f>
        <v>0</v>
      </c>
      <c r="AF66" s="276">
        <f t="shared" si="68"/>
        <v>0.32799999999997453</v>
      </c>
      <c r="AG66" s="276">
        <f t="shared" si="68"/>
        <v>0.32799999999997453</v>
      </c>
      <c r="AH66" s="276">
        <f t="shared" si="68"/>
        <v>-0.32799999999997453</v>
      </c>
      <c r="AI66" s="276">
        <f t="shared" si="68"/>
        <v>0</v>
      </c>
      <c r="AJ66" s="276">
        <f t="shared" si="68"/>
        <v>0</v>
      </c>
      <c r="AK66" s="276">
        <f t="shared" si="68"/>
        <v>0</v>
      </c>
      <c r="AM66" s="276">
        <f t="shared" ref="AM66:AS66" si="69">AM25-SUM(AM26:AM29)-AM30</f>
        <v>0</v>
      </c>
      <c r="AN66" s="276">
        <f t="shared" si="69"/>
        <v>0</v>
      </c>
      <c r="AO66" s="276">
        <f t="shared" si="69"/>
        <v>0</v>
      </c>
      <c r="AP66" s="276">
        <f t="shared" si="69"/>
        <v>0</v>
      </c>
      <c r="AQ66" s="276">
        <f t="shared" si="69"/>
        <v>0</v>
      </c>
      <c r="AR66" s="276">
        <f t="shared" si="69"/>
        <v>0</v>
      </c>
      <c r="AS66" s="276">
        <f t="shared" si="69"/>
        <v>0</v>
      </c>
      <c r="AU66" s="276">
        <f t="shared" ref="AU66:BA66" si="70">AU25-SUM(AU26:AU29)-AU30</f>
        <v>0</v>
      </c>
      <c r="AV66" s="276">
        <f t="shared" si="70"/>
        <v>0</v>
      </c>
      <c r="AW66" s="276">
        <f t="shared" si="70"/>
        <v>0</v>
      </c>
      <c r="AX66" s="276">
        <f t="shared" si="70"/>
        <v>0</v>
      </c>
      <c r="AY66" s="276">
        <f t="shared" si="70"/>
        <v>0</v>
      </c>
      <c r="AZ66" s="276">
        <f t="shared" si="70"/>
        <v>0</v>
      </c>
      <c r="BA66" s="276">
        <f t="shared" si="70"/>
        <v>0</v>
      </c>
      <c r="BC66" s="276">
        <f t="shared" ref="BC66:BI66" si="71">BC25-SUM(BC26:BC29)-BC30</f>
        <v>0</v>
      </c>
      <c r="BD66" s="276">
        <f t="shared" si="71"/>
        <v>0</v>
      </c>
      <c r="BE66" s="276">
        <f t="shared" si="71"/>
        <v>0</v>
      </c>
      <c r="BF66" s="276">
        <f t="shared" si="71"/>
        <v>0</v>
      </c>
      <c r="BG66" s="276">
        <f t="shared" si="71"/>
        <v>0</v>
      </c>
      <c r="BH66" s="276">
        <f t="shared" si="71"/>
        <v>0</v>
      </c>
      <c r="BI66" s="276">
        <f t="shared" si="71"/>
        <v>0</v>
      </c>
      <c r="BK66" s="276">
        <f t="shared" ref="BK66:BQ66" si="72">BK25-SUM(BK26:BK29)-BK30</f>
        <v>0</v>
      </c>
      <c r="BL66" s="276">
        <f t="shared" si="72"/>
        <v>0</v>
      </c>
      <c r="BM66" s="276">
        <f t="shared" si="72"/>
        <v>0</v>
      </c>
      <c r="BN66" s="276">
        <f t="shared" si="72"/>
        <v>0</v>
      </c>
      <c r="BO66" s="276">
        <f t="shared" si="72"/>
        <v>0</v>
      </c>
      <c r="BP66" s="276">
        <f t="shared" si="72"/>
        <v>0</v>
      </c>
      <c r="BQ66" s="276">
        <f t="shared" si="72"/>
        <v>0</v>
      </c>
      <c r="BS66" s="276">
        <f t="shared" ref="BS66:BY66" si="73">BS25-SUM(BS26:BS29)-BS30</f>
        <v>0</v>
      </c>
      <c r="BT66" s="276">
        <f t="shared" si="73"/>
        <v>0</v>
      </c>
      <c r="BU66" s="276">
        <f t="shared" si="73"/>
        <v>0</v>
      </c>
      <c r="BV66" s="276">
        <f t="shared" si="73"/>
        <v>0</v>
      </c>
      <c r="BW66" s="276">
        <f t="shared" si="73"/>
        <v>0</v>
      </c>
      <c r="BX66" s="276">
        <f t="shared" si="73"/>
        <v>0</v>
      </c>
      <c r="BY66" s="276">
        <f t="shared" si="73"/>
        <v>0</v>
      </c>
      <c r="CA66" s="276">
        <f t="shared" ref="CA66:CG66" si="74">CA25-SUM(CA26:CA29)-CA30</f>
        <v>0</v>
      </c>
      <c r="CB66" s="276">
        <f t="shared" si="74"/>
        <v>0</v>
      </c>
      <c r="CC66" s="276">
        <f t="shared" si="74"/>
        <v>0</v>
      </c>
      <c r="CD66" s="276">
        <f t="shared" si="74"/>
        <v>0</v>
      </c>
      <c r="CE66" s="276">
        <f t="shared" si="74"/>
        <v>0</v>
      </c>
      <c r="CF66" s="276">
        <f t="shared" si="74"/>
        <v>0</v>
      </c>
      <c r="CG66" s="276">
        <f t="shared" si="74"/>
        <v>0</v>
      </c>
      <c r="CI66" s="276">
        <f t="shared" ref="CI66:CO66" si="75">CI25-SUM(CI26:CI29)-CI30</f>
        <v>0</v>
      </c>
      <c r="CJ66" s="276">
        <f t="shared" si="75"/>
        <v>0</v>
      </c>
      <c r="CK66" s="276">
        <f t="shared" si="75"/>
        <v>0</v>
      </c>
      <c r="CL66" s="276">
        <f t="shared" si="75"/>
        <v>0</v>
      </c>
      <c r="CM66" s="276">
        <f t="shared" si="75"/>
        <v>0</v>
      </c>
      <c r="CN66" s="276">
        <f t="shared" si="75"/>
        <v>0</v>
      </c>
      <c r="CO66" s="276">
        <f t="shared" si="75"/>
        <v>0</v>
      </c>
      <c r="CQ66" s="276">
        <f t="shared" ref="CQ66:CW66" si="76">CQ25-SUM(CQ26:CQ29)-CQ30</f>
        <v>0</v>
      </c>
      <c r="CR66" s="276">
        <f t="shared" si="76"/>
        <v>0</v>
      </c>
      <c r="CS66" s="276">
        <f t="shared" si="76"/>
        <v>0</v>
      </c>
      <c r="CT66" s="276">
        <f t="shared" si="76"/>
        <v>0</v>
      </c>
      <c r="CU66" s="276">
        <f t="shared" si="76"/>
        <v>0</v>
      </c>
      <c r="CV66" s="276">
        <f t="shared" si="76"/>
        <v>0</v>
      </c>
      <c r="CW66" s="276">
        <f t="shared" si="76"/>
        <v>0</v>
      </c>
    </row>
    <row r="67" spans="1:101" s="95" customFormat="1" outlineLevel="1" x14ac:dyDescent="0.25">
      <c r="B67" s="277" t="s">
        <v>57</v>
      </c>
      <c r="E67" s="276">
        <f t="shared" ref="E67" si="77">SUM(E30:E36)-E37</f>
        <v>0</v>
      </c>
      <c r="G67" s="276">
        <f t="shared" ref="G67:L67" si="78">SUM(G30:G36)-G37</f>
        <v>0</v>
      </c>
      <c r="H67" s="276">
        <f t="shared" si="78"/>
        <v>0</v>
      </c>
      <c r="I67" s="276">
        <f t="shared" si="78"/>
        <v>0</v>
      </c>
      <c r="J67" s="276">
        <f t="shared" si="78"/>
        <v>0</v>
      </c>
      <c r="K67" s="276">
        <f t="shared" si="78"/>
        <v>0</v>
      </c>
      <c r="L67" s="276">
        <f t="shared" si="78"/>
        <v>0</v>
      </c>
      <c r="M67" s="276">
        <f>SUM(M30:M36)-M37</f>
        <v>0</v>
      </c>
      <c r="O67" s="276">
        <f t="shared" ref="O67:U67" si="79">SUM(O30:O36)-O37</f>
        <v>0</v>
      </c>
      <c r="P67" s="276">
        <f t="shared" si="79"/>
        <v>0</v>
      </c>
      <c r="Q67" s="276">
        <f t="shared" si="79"/>
        <v>0</v>
      </c>
      <c r="R67" s="276">
        <f t="shared" si="79"/>
        <v>0</v>
      </c>
      <c r="S67" s="276">
        <f t="shared" si="79"/>
        <v>0</v>
      </c>
      <c r="T67" s="276">
        <f t="shared" si="79"/>
        <v>0</v>
      </c>
      <c r="U67" s="276">
        <f t="shared" si="79"/>
        <v>0</v>
      </c>
      <c r="W67" s="276">
        <f t="shared" ref="W67:AC67" si="80">SUM(W30:W36)-W37</f>
        <v>0</v>
      </c>
      <c r="X67" s="276">
        <f t="shared" si="80"/>
        <v>0</v>
      </c>
      <c r="Y67" s="276">
        <f t="shared" si="80"/>
        <v>0</v>
      </c>
      <c r="Z67" s="276">
        <f t="shared" si="80"/>
        <v>0</v>
      </c>
      <c r="AA67" s="276">
        <f t="shared" si="80"/>
        <v>0</v>
      </c>
      <c r="AB67" s="276">
        <f t="shared" si="80"/>
        <v>0.4959999999973661</v>
      </c>
      <c r="AC67" s="276">
        <f t="shared" si="80"/>
        <v>0.49599999999190914</v>
      </c>
      <c r="AE67" s="276">
        <f t="shared" ref="AE67:AK67" si="81">SUM(AE30:AE36)-AE37</f>
        <v>0</v>
      </c>
      <c r="AF67" s="276">
        <f t="shared" si="81"/>
        <v>0</v>
      </c>
      <c r="AG67" s="276">
        <f t="shared" si="81"/>
        <v>0</v>
      </c>
      <c r="AH67" s="276">
        <f t="shared" si="81"/>
        <v>0</v>
      </c>
      <c r="AI67" s="276">
        <f t="shared" si="81"/>
        <v>0</v>
      </c>
      <c r="AJ67" s="276">
        <f t="shared" si="81"/>
        <v>0</v>
      </c>
      <c r="AK67" s="276">
        <f t="shared" si="81"/>
        <v>0</v>
      </c>
      <c r="AM67" s="276">
        <f t="shared" ref="AM67:AS67" si="82">SUM(AM30:AM36)-AM37</f>
        <v>0</v>
      </c>
      <c r="AN67" s="276">
        <f t="shared" si="82"/>
        <v>0</v>
      </c>
      <c r="AO67" s="276">
        <f t="shared" si="82"/>
        <v>0</v>
      </c>
      <c r="AP67" s="276">
        <f t="shared" si="82"/>
        <v>0</v>
      </c>
      <c r="AQ67" s="276">
        <f t="shared" si="82"/>
        <v>0</v>
      </c>
      <c r="AR67" s="276">
        <f t="shared" si="82"/>
        <v>0</v>
      </c>
      <c r="AS67" s="276">
        <f t="shared" si="82"/>
        <v>0</v>
      </c>
      <c r="AU67" s="276">
        <f t="shared" ref="AU67:BA67" si="83">SUM(AU30:AU36)-AU37</f>
        <v>0</v>
      </c>
      <c r="AV67" s="276">
        <f t="shared" si="83"/>
        <v>0</v>
      </c>
      <c r="AW67" s="276">
        <f t="shared" si="83"/>
        <v>0</v>
      </c>
      <c r="AX67" s="276">
        <f t="shared" si="83"/>
        <v>0</v>
      </c>
      <c r="AY67" s="276">
        <f t="shared" si="83"/>
        <v>0</v>
      </c>
      <c r="AZ67" s="276">
        <f t="shared" si="83"/>
        <v>0</v>
      </c>
      <c r="BA67" s="276">
        <f t="shared" si="83"/>
        <v>0</v>
      </c>
      <c r="BC67" s="276">
        <f t="shared" ref="BC67:BI67" si="84">SUM(BC30:BC36)-BC37</f>
        <v>0</v>
      </c>
      <c r="BD67" s="276">
        <f t="shared" si="84"/>
        <v>0</v>
      </c>
      <c r="BE67" s="276">
        <f t="shared" si="84"/>
        <v>0</v>
      </c>
      <c r="BF67" s="276">
        <f t="shared" si="84"/>
        <v>0</v>
      </c>
      <c r="BG67" s="276">
        <f t="shared" si="84"/>
        <v>0</v>
      </c>
      <c r="BH67" s="276">
        <f t="shared" si="84"/>
        <v>0</v>
      </c>
      <c r="BI67" s="276">
        <f t="shared" si="84"/>
        <v>0</v>
      </c>
      <c r="BK67" s="276">
        <f t="shared" ref="BK67:BQ67" si="85">SUM(BK30:BK36)-BK37</f>
        <v>0</v>
      </c>
      <c r="BL67" s="276">
        <f t="shared" si="85"/>
        <v>0</v>
      </c>
      <c r="BM67" s="276">
        <f t="shared" si="85"/>
        <v>0</v>
      </c>
      <c r="BN67" s="276">
        <f t="shared" si="85"/>
        <v>0</v>
      </c>
      <c r="BO67" s="276">
        <f t="shared" si="85"/>
        <v>0</v>
      </c>
      <c r="BP67" s="276">
        <f t="shared" si="85"/>
        <v>0</v>
      </c>
      <c r="BQ67" s="276">
        <f t="shared" si="85"/>
        <v>0</v>
      </c>
      <c r="BS67" s="276">
        <f t="shared" ref="BS67:BY67" si="86">SUM(BS30:BS36)-BS37</f>
        <v>0</v>
      </c>
      <c r="BT67" s="276">
        <f t="shared" si="86"/>
        <v>0</v>
      </c>
      <c r="BU67" s="276">
        <f t="shared" si="86"/>
        <v>0</v>
      </c>
      <c r="BV67" s="276">
        <f t="shared" si="86"/>
        <v>0</v>
      </c>
      <c r="BW67" s="276">
        <f t="shared" si="86"/>
        <v>0</v>
      </c>
      <c r="BX67" s="276">
        <f t="shared" si="86"/>
        <v>0</v>
      </c>
      <c r="BY67" s="276">
        <f t="shared" si="86"/>
        <v>0</v>
      </c>
      <c r="CA67" s="276">
        <f t="shared" ref="CA67:CG67" si="87">SUM(CA30:CA36)-CA37</f>
        <v>0</v>
      </c>
      <c r="CB67" s="276">
        <f t="shared" si="87"/>
        <v>0</v>
      </c>
      <c r="CC67" s="276">
        <f t="shared" si="87"/>
        <v>0</v>
      </c>
      <c r="CD67" s="276">
        <f t="shared" si="87"/>
        <v>0</v>
      </c>
      <c r="CE67" s="276">
        <f t="shared" si="87"/>
        <v>0</v>
      </c>
      <c r="CF67" s="276">
        <f t="shared" si="87"/>
        <v>0</v>
      </c>
      <c r="CG67" s="276">
        <f t="shared" si="87"/>
        <v>0</v>
      </c>
      <c r="CI67" s="276">
        <f t="shared" ref="CI67:CO67" si="88">SUM(CI30:CI36)-CI37</f>
        <v>0</v>
      </c>
      <c r="CJ67" s="276">
        <f t="shared" si="88"/>
        <v>0</v>
      </c>
      <c r="CK67" s="276">
        <f t="shared" si="88"/>
        <v>0</v>
      </c>
      <c r="CL67" s="276">
        <f t="shared" si="88"/>
        <v>0</v>
      </c>
      <c r="CM67" s="276">
        <f t="shared" si="88"/>
        <v>0</v>
      </c>
      <c r="CN67" s="276">
        <f t="shared" si="88"/>
        <v>0</v>
      </c>
      <c r="CO67" s="276">
        <f t="shared" si="88"/>
        <v>0</v>
      </c>
      <c r="CQ67" s="276">
        <f t="shared" ref="CQ67:CW67" si="89">SUM(CQ30:CQ36)-CQ37</f>
        <v>0</v>
      </c>
      <c r="CR67" s="276">
        <f t="shared" si="89"/>
        <v>0</v>
      </c>
      <c r="CS67" s="276">
        <f t="shared" si="89"/>
        <v>0</v>
      </c>
      <c r="CT67" s="276">
        <f t="shared" si="89"/>
        <v>0</v>
      </c>
      <c r="CU67" s="276">
        <f t="shared" si="89"/>
        <v>0</v>
      </c>
      <c r="CV67" s="276">
        <f t="shared" si="89"/>
        <v>0</v>
      </c>
      <c r="CW67" s="276">
        <f t="shared" si="89"/>
        <v>0</v>
      </c>
    </row>
    <row r="68" spans="1:101" s="95" customFormat="1" outlineLevel="1" x14ac:dyDescent="0.25">
      <c r="B68" s="277" t="s">
        <v>147</v>
      </c>
      <c r="E68" s="276">
        <f t="shared" ref="E68" si="90">SUM(E37:E44)-E45</f>
        <v>-1</v>
      </c>
      <c r="G68" s="276">
        <f t="shared" ref="G68:M68" si="91">SUM(G37:G44)-G45</f>
        <v>-1</v>
      </c>
      <c r="H68" s="276">
        <f t="shared" si="91"/>
        <v>0</v>
      </c>
      <c r="I68" s="276">
        <f t="shared" si="91"/>
        <v>-1</v>
      </c>
      <c r="J68" s="276">
        <f t="shared" si="91"/>
        <v>0</v>
      </c>
      <c r="K68" s="276">
        <f t="shared" si="91"/>
        <v>0</v>
      </c>
      <c r="L68" s="276">
        <f t="shared" si="91"/>
        <v>0</v>
      </c>
      <c r="M68" s="276">
        <f t="shared" si="91"/>
        <v>0</v>
      </c>
      <c r="O68" s="276">
        <f t="shared" ref="O68:U68" si="92">SUM(O37:O44)-O45</f>
        <v>0</v>
      </c>
      <c r="P68" s="276">
        <f t="shared" si="92"/>
        <v>0</v>
      </c>
      <c r="Q68" s="276">
        <f t="shared" si="92"/>
        <v>0</v>
      </c>
      <c r="R68" s="276">
        <f t="shared" si="92"/>
        <v>0</v>
      </c>
      <c r="S68" s="276">
        <f t="shared" si="92"/>
        <v>0</v>
      </c>
      <c r="T68" s="276">
        <f t="shared" si="92"/>
        <v>0</v>
      </c>
      <c r="U68" s="276">
        <f t="shared" si="92"/>
        <v>0</v>
      </c>
      <c r="W68" s="276">
        <f t="shared" ref="W68:AC68" si="93">SUM(W37:W44)-W45</f>
        <v>0</v>
      </c>
      <c r="X68" s="276">
        <f t="shared" si="93"/>
        <v>0</v>
      </c>
      <c r="Y68" s="276">
        <f t="shared" si="93"/>
        <v>0</v>
      </c>
      <c r="Z68" s="276">
        <f t="shared" si="93"/>
        <v>0</v>
      </c>
      <c r="AA68" s="276">
        <f t="shared" si="93"/>
        <v>0</v>
      </c>
      <c r="AB68" s="276">
        <f t="shared" si="93"/>
        <v>0</v>
      </c>
      <c r="AC68" s="276">
        <f t="shared" si="93"/>
        <v>0</v>
      </c>
      <c r="AE68" s="276">
        <f t="shared" ref="AE68:AK68" si="94">SUM(AE37:AE44)-AE45</f>
        <v>0</v>
      </c>
      <c r="AF68" s="276">
        <f t="shared" si="94"/>
        <v>-0.44100000000253203</v>
      </c>
      <c r="AG68" s="276">
        <f t="shared" si="94"/>
        <v>-0.44100000000253203</v>
      </c>
      <c r="AH68" s="276">
        <f t="shared" si="94"/>
        <v>0.15300000000206637</v>
      </c>
      <c r="AI68" s="276">
        <f t="shared" si="94"/>
        <v>-0.28800000000046566</v>
      </c>
      <c r="AJ68" s="276">
        <f t="shared" si="94"/>
        <v>0.28799999999682768</v>
      </c>
      <c r="AK68" s="276">
        <f t="shared" si="94"/>
        <v>0</v>
      </c>
      <c r="AM68" s="276">
        <f t="shared" ref="AM68:AS68" si="95">SUM(AM37:AM44)-AM45</f>
        <v>0</v>
      </c>
      <c r="AN68" s="276">
        <f t="shared" si="95"/>
        <v>0</v>
      </c>
      <c r="AO68" s="276">
        <f t="shared" si="95"/>
        <v>0</v>
      </c>
      <c r="AP68" s="276">
        <f t="shared" si="95"/>
        <v>0</v>
      </c>
      <c r="AQ68" s="276">
        <f t="shared" si="95"/>
        <v>0</v>
      </c>
      <c r="AR68" s="276">
        <f t="shared" si="95"/>
        <v>0</v>
      </c>
      <c r="AS68" s="276">
        <f t="shared" si="95"/>
        <v>0</v>
      </c>
      <c r="AU68" s="276">
        <f t="shared" ref="AU68:BA68" si="96">SUM(AU37:AU44)-AU45</f>
        <v>0</v>
      </c>
      <c r="AV68" s="276">
        <f t="shared" si="96"/>
        <v>0</v>
      </c>
      <c r="AW68" s="276">
        <f t="shared" si="96"/>
        <v>0</v>
      </c>
      <c r="AX68" s="276">
        <f t="shared" si="96"/>
        <v>0</v>
      </c>
      <c r="AY68" s="276">
        <f t="shared" si="96"/>
        <v>0</v>
      </c>
      <c r="AZ68" s="276">
        <f t="shared" si="96"/>
        <v>0</v>
      </c>
      <c r="BA68" s="276">
        <f t="shared" si="96"/>
        <v>0</v>
      </c>
      <c r="BC68" s="276">
        <f t="shared" ref="BC68:BI68" si="97">SUM(BC37:BC44)-BC45</f>
        <v>0</v>
      </c>
      <c r="BD68" s="276">
        <f t="shared" si="97"/>
        <v>0</v>
      </c>
      <c r="BE68" s="276">
        <f t="shared" si="97"/>
        <v>0</v>
      </c>
      <c r="BF68" s="276">
        <f t="shared" si="97"/>
        <v>0</v>
      </c>
      <c r="BG68" s="276">
        <f t="shared" si="97"/>
        <v>0</v>
      </c>
      <c r="BH68" s="276">
        <f t="shared" si="97"/>
        <v>0</v>
      </c>
      <c r="BI68" s="276">
        <f t="shared" si="97"/>
        <v>0</v>
      </c>
      <c r="BK68" s="276">
        <f t="shared" ref="BK68:BQ68" si="98">SUM(BK37:BK44)-BK45</f>
        <v>0</v>
      </c>
      <c r="BL68" s="276">
        <f t="shared" si="98"/>
        <v>0</v>
      </c>
      <c r="BM68" s="276">
        <f t="shared" si="98"/>
        <v>0</v>
      </c>
      <c r="BN68" s="276">
        <f t="shared" si="98"/>
        <v>0</v>
      </c>
      <c r="BO68" s="276">
        <f t="shared" si="98"/>
        <v>0</v>
      </c>
      <c r="BP68" s="276">
        <f t="shared" si="98"/>
        <v>0</v>
      </c>
      <c r="BQ68" s="276">
        <f t="shared" si="98"/>
        <v>0</v>
      </c>
      <c r="BS68" s="276">
        <f t="shared" ref="BS68:BY68" si="99">SUM(BS37:BS44)-BS45</f>
        <v>0</v>
      </c>
      <c r="BT68" s="276">
        <f t="shared" si="99"/>
        <v>0</v>
      </c>
      <c r="BU68" s="276">
        <f t="shared" si="99"/>
        <v>0</v>
      </c>
      <c r="BV68" s="276">
        <f t="shared" si="99"/>
        <v>0</v>
      </c>
      <c r="BW68" s="276">
        <f t="shared" si="99"/>
        <v>0</v>
      </c>
      <c r="BX68" s="276">
        <f t="shared" si="99"/>
        <v>0</v>
      </c>
      <c r="BY68" s="276">
        <f t="shared" si="99"/>
        <v>0</v>
      </c>
      <c r="CA68" s="276">
        <f t="shared" ref="CA68:CG68" si="100">SUM(CA37:CA44)-CA45</f>
        <v>0</v>
      </c>
      <c r="CB68" s="276">
        <f t="shared" si="100"/>
        <v>0</v>
      </c>
      <c r="CC68" s="276">
        <f t="shared" si="100"/>
        <v>0</v>
      </c>
      <c r="CD68" s="276">
        <f t="shared" si="100"/>
        <v>0</v>
      </c>
      <c r="CE68" s="276">
        <f t="shared" si="100"/>
        <v>0</v>
      </c>
      <c r="CF68" s="276">
        <f t="shared" si="100"/>
        <v>0</v>
      </c>
      <c r="CG68" s="276">
        <f t="shared" si="100"/>
        <v>0</v>
      </c>
      <c r="CI68" s="276">
        <f t="shared" ref="CI68:CO68" si="101">SUM(CI37:CI44)-CI45</f>
        <v>0</v>
      </c>
      <c r="CJ68" s="276">
        <f t="shared" si="101"/>
        <v>0</v>
      </c>
      <c r="CK68" s="276">
        <f t="shared" si="101"/>
        <v>0</v>
      </c>
      <c r="CL68" s="276">
        <f t="shared" si="101"/>
        <v>0</v>
      </c>
      <c r="CM68" s="276">
        <f t="shared" si="101"/>
        <v>0</v>
      </c>
      <c r="CN68" s="276">
        <f t="shared" si="101"/>
        <v>0</v>
      </c>
      <c r="CO68" s="276">
        <f t="shared" si="101"/>
        <v>0</v>
      </c>
      <c r="CQ68" s="276">
        <f t="shared" ref="CQ68:CW68" si="102">SUM(CQ37:CQ44)-CQ45</f>
        <v>0</v>
      </c>
      <c r="CR68" s="276">
        <f t="shared" si="102"/>
        <v>0</v>
      </c>
      <c r="CS68" s="276">
        <f t="shared" si="102"/>
        <v>0</v>
      </c>
      <c r="CT68" s="276">
        <f t="shared" si="102"/>
        <v>0</v>
      </c>
      <c r="CU68" s="276">
        <f t="shared" si="102"/>
        <v>0</v>
      </c>
      <c r="CV68" s="276">
        <f t="shared" si="102"/>
        <v>0</v>
      </c>
      <c r="CW68" s="276">
        <f t="shared" si="102"/>
        <v>0</v>
      </c>
    </row>
    <row r="69" spans="1:101" s="95" customFormat="1" outlineLevel="1" x14ac:dyDescent="0.25">
      <c r="B69" s="277" t="s">
        <v>39</v>
      </c>
      <c r="E69" s="276">
        <f t="shared" ref="E69" si="103">SUM(E50:E51)-E52</f>
        <v>0</v>
      </c>
      <c r="G69" s="276">
        <f t="shared" ref="G69:M69" si="104">SUM(G50:G51)-G52</f>
        <v>0</v>
      </c>
      <c r="H69" s="276">
        <f t="shared" si="104"/>
        <v>0</v>
      </c>
      <c r="I69" s="276">
        <f t="shared" si="104"/>
        <v>0</v>
      </c>
      <c r="J69" s="276">
        <f t="shared" si="104"/>
        <v>0</v>
      </c>
      <c r="K69" s="276">
        <f t="shared" si="104"/>
        <v>0</v>
      </c>
      <c r="L69" s="276">
        <f t="shared" si="104"/>
        <v>0</v>
      </c>
      <c r="M69" s="276">
        <f t="shared" si="104"/>
        <v>0</v>
      </c>
      <c r="O69" s="276">
        <f t="shared" ref="O69:U69" si="105">SUM(O50:O51)-O52</f>
        <v>0</v>
      </c>
      <c r="P69" s="276">
        <f t="shared" si="105"/>
        <v>0</v>
      </c>
      <c r="Q69" s="276">
        <f t="shared" si="105"/>
        <v>0</v>
      </c>
      <c r="R69" s="276">
        <f t="shared" si="105"/>
        <v>0</v>
      </c>
      <c r="S69" s="276">
        <f t="shared" si="105"/>
        <v>0</v>
      </c>
      <c r="T69" s="276">
        <f t="shared" si="105"/>
        <v>0</v>
      </c>
      <c r="U69" s="276">
        <f t="shared" si="105"/>
        <v>0</v>
      </c>
      <c r="W69" s="276">
        <f t="shared" ref="W69:AC69" si="106">SUM(W50:W51)-W52</f>
        <v>0</v>
      </c>
      <c r="X69" s="276">
        <f t="shared" si="106"/>
        <v>0</v>
      </c>
      <c r="Y69" s="276">
        <f t="shared" si="106"/>
        <v>0</v>
      </c>
      <c r="Z69" s="276">
        <f t="shared" si="106"/>
        <v>0</v>
      </c>
      <c r="AA69" s="276">
        <f t="shared" si="106"/>
        <v>0</v>
      </c>
      <c r="AB69" s="276">
        <f t="shared" si="106"/>
        <v>0</v>
      </c>
      <c r="AC69" s="276">
        <f t="shared" si="106"/>
        <v>0</v>
      </c>
      <c r="AE69" s="276">
        <f t="shared" ref="AE69:AF69" si="107">SUM(AE50:AE51)-AE52</f>
        <v>0</v>
      </c>
      <c r="AF69" s="276">
        <f t="shared" si="107"/>
        <v>0</v>
      </c>
      <c r="AG69" s="276">
        <f t="shared" ref="AG69:AH69" si="108">SUM(AG50:AG51)-AG52</f>
        <v>0</v>
      </c>
      <c r="AH69" s="276">
        <f t="shared" si="108"/>
        <v>0</v>
      </c>
      <c r="AI69" s="276">
        <f t="shared" ref="AI69:AJ69" si="109">SUM(AI50:AI51)-AI52</f>
        <v>0</v>
      </c>
      <c r="AJ69" s="276">
        <f t="shared" si="109"/>
        <v>0</v>
      </c>
      <c r="AK69" s="276">
        <f t="shared" ref="AK69" si="110">SUM(AK50:AK51)-AK52</f>
        <v>0</v>
      </c>
      <c r="AM69" s="276">
        <f t="shared" ref="AM69:AS69" si="111">SUM(AM50:AM51)-AM52</f>
        <v>0</v>
      </c>
      <c r="AN69" s="276">
        <f t="shared" si="111"/>
        <v>0</v>
      </c>
      <c r="AO69" s="276">
        <f t="shared" si="111"/>
        <v>0</v>
      </c>
      <c r="AP69" s="276">
        <f t="shared" si="111"/>
        <v>0</v>
      </c>
      <c r="AQ69" s="276">
        <f t="shared" si="111"/>
        <v>0</v>
      </c>
      <c r="AR69" s="276">
        <f t="shared" si="111"/>
        <v>0</v>
      </c>
      <c r="AS69" s="276">
        <f t="shared" si="111"/>
        <v>0</v>
      </c>
      <c r="AU69" s="276">
        <f t="shared" ref="AU69:BA69" si="112">SUM(AU50:AU51)-AU52</f>
        <v>0</v>
      </c>
      <c r="AV69" s="276">
        <f t="shared" si="112"/>
        <v>0</v>
      </c>
      <c r="AW69" s="276">
        <f t="shared" si="112"/>
        <v>0</v>
      </c>
      <c r="AX69" s="276">
        <f t="shared" si="112"/>
        <v>0</v>
      </c>
      <c r="AY69" s="276">
        <f t="shared" si="112"/>
        <v>0</v>
      </c>
      <c r="AZ69" s="276">
        <f t="shared" si="112"/>
        <v>0</v>
      </c>
      <c r="BA69" s="276">
        <f t="shared" si="112"/>
        <v>0</v>
      </c>
      <c r="BC69" s="276">
        <f t="shared" ref="BC69:BI69" si="113">SUM(BC50:BC51)-BC52</f>
        <v>0</v>
      </c>
      <c r="BD69" s="276">
        <f t="shared" si="113"/>
        <v>0</v>
      </c>
      <c r="BE69" s="276">
        <f t="shared" si="113"/>
        <v>0</v>
      </c>
      <c r="BF69" s="276">
        <f t="shared" si="113"/>
        <v>0</v>
      </c>
      <c r="BG69" s="276">
        <f t="shared" si="113"/>
        <v>0</v>
      </c>
      <c r="BH69" s="276">
        <f t="shared" si="113"/>
        <v>0</v>
      </c>
      <c r="BI69" s="276">
        <f t="shared" si="113"/>
        <v>0</v>
      </c>
      <c r="BK69" s="276">
        <f t="shared" ref="BK69:BQ69" si="114">SUM(BK50:BK51)-BK52</f>
        <v>0</v>
      </c>
      <c r="BL69" s="276">
        <f t="shared" si="114"/>
        <v>0</v>
      </c>
      <c r="BM69" s="276">
        <f t="shared" si="114"/>
        <v>0</v>
      </c>
      <c r="BN69" s="276">
        <f t="shared" si="114"/>
        <v>0</v>
      </c>
      <c r="BO69" s="276">
        <f t="shared" si="114"/>
        <v>0</v>
      </c>
      <c r="BP69" s="276">
        <f t="shared" si="114"/>
        <v>0</v>
      </c>
      <c r="BQ69" s="276">
        <f t="shared" si="114"/>
        <v>0</v>
      </c>
      <c r="BS69" s="276">
        <f t="shared" ref="BS69:BY69" si="115">SUM(BS50:BS51)-BS52</f>
        <v>0</v>
      </c>
      <c r="BT69" s="276">
        <f t="shared" si="115"/>
        <v>0</v>
      </c>
      <c r="BU69" s="276">
        <f t="shared" si="115"/>
        <v>0</v>
      </c>
      <c r="BV69" s="276">
        <f t="shared" si="115"/>
        <v>0</v>
      </c>
      <c r="BW69" s="276">
        <f t="shared" si="115"/>
        <v>0</v>
      </c>
      <c r="BX69" s="276">
        <f t="shared" si="115"/>
        <v>0</v>
      </c>
      <c r="BY69" s="276">
        <f t="shared" si="115"/>
        <v>0</v>
      </c>
      <c r="CA69" s="276">
        <f t="shared" ref="CA69:CG69" si="116">SUM(CA50:CA51)-CA52</f>
        <v>0</v>
      </c>
      <c r="CB69" s="276">
        <f t="shared" si="116"/>
        <v>0</v>
      </c>
      <c r="CC69" s="276">
        <f t="shared" si="116"/>
        <v>0</v>
      </c>
      <c r="CD69" s="276">
        <f t="shared" si="116"/>
        <v>0</v>
      </c>
      <c r="CE69" s="276">
        <f t="shared" si="116"/>
        <v>0</v>
      </c>
      <c r="CF69" s="276">
        <f t="shared" si="116"/>
        <v>0</v>
      </c>
      <c r="CG69" s="276">
        <f t="shared" si="116"/>
        <v>0</v>
      </c>
      <c r="CI69" s="276">
        <f t="shared" ref="CI69:CO69" si="117">SUM(CI50:CI51)-CI52</f>
        <v>0</v>
      </c>
      <c r="CJ69" s="276">
        <f t="shared" si="117"/>
        <v>0</v>
      </c>
      <c r="CK69" s="276">
        <f t="shared" si="117"/>
        <v>0</v>
      </c>
      <c r="CL69" s="276">
        <f t="shared" si="117"/>
        <v>0</v>
      </c>
      <c r="CM69" s="276">
        <f t="shared" si="117"/>
        <v>0</v>
      </c>
      <c r="CN69" s="276">
        <f t="shared" si="117"/>
        <v>0</v>
      </c>
      <c r="CO69" s="276">
        <f t="shared" si="117"/>
        <v>0</v>
      </c>
      <c r="CQ69" s="276">
        <f t="shared" ref="CQ69:CW69" si="118">SUM(CQ50:CQ51)-CQ52</f>
        <v>0</v>
      </c>
      <c r="CR69" s="276">
        <f t="shared" si="118"/>
        <v>0</v>
      </c>
      <c r="CS69" s="276">
        <f t="shared" si="118"/>
        <v>0</v>
      </c>
      <c r="CT69" s="276">
        <f t="shared" si="118"/>
        <v>0</v>
      </c>
      <c r="CU69" s="276">
        <f t="shared" si="118"/>
        <v>0</v>
      </c>
      <c r="CV69" s="276">
        <f t="shared" si="118"/>
        <v>0</v>
      </c>
      <c r="CW69" s="276">
        <f t="shared" si="118"/>
        <v>0</v>
      </c>
    </row>
    <row r="70" spans="1:101" s="95" customFormat="1" outlineLevel="1" x14ac:dyDescent="0.25">
      <c r="A70" s="95" t="s">
        <v>225</v>
      </c>
      <c r="B70" s="277" t="s">
        <v>40</v>
      </c>
      <c r="E70" s="276">
        <f t="shared" ref="E70" si="119">E48-E52-E54</f>
        <v>-1.9999773940071464E-5</v>
      </c>
      <c r="G70" s="276">
        <f t="shared" ref="G70:M70" si="120">G48-G52-G54</f>
        <v>-1.9999773940071464E-5</v>
      </c>
      <c r="H70" s="276">
        <f t="shared" si="120"/>
        <v>0</v>
      </c>
      <c r="I70" s="276">
        <f t="shared" si="120"/>
        <v>-1.9999744836241007E-5</v>
      </c>
      <c r="J70" s="276">
        <f t="shared" si="120"/>
        <v>0</v>
      </c>
      <c r="K70" s="276">
        <f t="shared" si="120"/>
        <v>-1.9999744836241007E-5</v>
      </c>
      <c r="L70" s="276">
        <f t="shared" si="120"/>
        <v>0</v>
      </c>
      <c r="M70" s="276">
        <f t="shared" si="120"/>
        <v>-1.9999744836241007E-5</v>
      </c>
      <c r="O70" s="276">
        <f t="shared" ref="O70:U70" si="121">O48-O52-O54</f>
        <v>0</v>
      </c>
      <c r="P70" s="276">
        <f t="shared" si="121"/>
        <v>0</v>
      </c>
      <c r="Q70" s="276">
        <f t="shared" si="121"/>
        <v>0</v>
      </c>
      <c r="R70" s="276">
        <f t="shared" si="121"/>
        <v>0</v>
      </c>
      <c r="S70" s="276">
        <f t="shared" si="121"/>
        <v>0</v>
      </c>
      <c r="T70" s="276">
        <f t="shared" si="121"/>
        <v>0</v>
      </c>
      <c r="U70" s="276">
        <f t="shared" si="121"/>
        <v>0</v>
      </c>
      <c r="W70" s="276">
        <f t="shared" ref="W70:AC70" si="122">W48-W52-W54</f>
        <v>0</v>
      </c>
      <c r="X70" s="276">
        <f t="shared" si="122"/>
        <v>0</v>
      </c>
      <c r="Y70" s="276">
        <f t="shared" si="122"/>
        <v>0</v>
      </c>
      <c r="Z70" s="276">
        <f t="shared" si="122"/>
        <v>0</v>
      </c>
      <c r="AA70" s="276">
        <f t="shared" si="122"/>
        <v>2.9800002666888759E-3</v>
      </c>
      <c r="AB70" s="276">
        <f t="shared" si="122"/>
        <v>0</v>
      </c>
      <c r="AC70" s="276">
        <f t="shared" si="122"/>
        <v>-2.0199997670715675E-3</v>
      </c>
      <c r="AE70" s="276">
        <f t="shared" ref="AE70:AF70" si="123">AE48-AE52-AE54</f>
        <v>0</v>
      </c>
      <c r="AF70" s="276">
        <f t="shared" si="123"/>
        <v>0.26598000018566381</v>
      </c>
      <c r="AG70" s="276">
        <f t="shared" ref="AG70:AH70" si="124">AG48-AG52-AG54</f>
        <v>0</v>
      </c>
      <c r="AH70" s="276">
        <f t="shared" si="124"/>
        <v>0</v>
      </c>
      <c r="AI70" s="276">
        <f t="shared" ref="AI70:AJ70" si="125">AI48-AI52-AI54</f>
        <v>0</v>
      </c>
      <c r="AJ70" s="276">
        <f t="shared" si="125"/>
        <v>0</v>
      </c>
      <c r="AK70" s="276">
        <f t="shared" ref="AK70" si="126">AK48-AK52-AK54</f>
        <v>0</v>
      </c>
      <c r="AM70" s="276">
        <f t="shared" ref="AM70:AS70" si="127">AM48-AM52-AM54</f>
        <v>0</v>
      </c>
      <c r="AN70" s="276">
        <f t="shared" si="127"/>
        <v>0</v>
      </c>
      <c r="AO70" s="276">
        <f t="shared" si="127"/>
        <v>0</v>
      </c>
      <c r="AP70" s="276">
        <f t="shared" si="127"/>
        <v>0</v>
      </c>
      <c r="AQ70" s="276">
        <f t="shared" si="127"/>
        <v>0</v>
      </c>
      <c r="AR70" s="276">
        <f t="shared" si="127"/>
        <v>0</v>
      </c>
      <c r="AS70" s="276">
        <f t="shared" si="127"/>
        <v>0</v>
      </c>
      <c r="AU70" s="276">
        <f t="shared" ref="AU70:BA70" si="128">AU48-AU52-AU54</f>
        <v>0</v>
      </c>
      <c r="AV70" s="276">
        <f t="shared" si="128"/>
        <v>0</v>
      </c>
      <c r="AW70" s="276">
        <f t="shared" si="128"/>
        <v>0</v>
      </c>
      <c r="AX70" s="276">
        <f t="shared" si="128"/>
        <v>0</v>
      </c>
      <c r="AY70" s="276">
        <f t="shared" si="128"/>
        <v>0</v>
      </c>
      <c r="AZ70" s="276">
        <f t="shared" si="128"/>
        <v>0</v>
      </c>
      <c r="BA70" s="276">
        <f t="shared" si="128"/>
        <v>0</v>
      </c>
      <c r="BC70" s="276">
        <f t="shared" ref="BC70:BI70" si="129">BC48-BC52-BC54</f>
        <v>0</v>
      </c>
      <c r="BD70" s="276">
        <f t="shared" si="129"/>
        <v>0</v>
      </c>
      <c r="BE70" s="276">
        <f t="shared" si="129"/>
        <v>0</v>
      </c>
      <c r="BF70" s="276">
        <f t="shared" si="129"/>
        <v>0</v>
      </c>
      <c r="BG70" s="276">
        <f t="shared" si="129"/>
        <v>0</v>
      </c>
      <c r="BH70" s="276">
        <f t="shared" si="129"/>
        <v>0</v>
      </c>
      <c r="BI70" s="276">
        <f t="shared" si="129"/>
        <v>0</v>
      </c>
      <c r="BK70" s="276">
        <f t="shared" ref="BK70:BQ70" si="130">BK48-BK52-BK54</f>
        <v>0</v>
      </c>
      <c r="BL70" s="276">
        <f t="shared" si="130"/>
        <v>0</v>
      </c>
      <c r="BM70" s="276">
        <f t="shared" si="130"/>
        <v>0</v>
      </c>
      <c r="BN70" s="276">
        <f t="shared" si="130"/>
        <v>0</v>
      </c>
      <c r="BO70" s="276">
        <f t="shared" si="130"/>
        <v>0</v>
      </c>
      <c r="BP70" s="276">
        <f t="shared" si="130"/>
        <v>0</v>
      </c>
      <c r="BQ70" s="276">
        <f t="shared" si="130"/>
        <v>0</v>
      </c>
      <c r="BS70" s="276">
        <f t="shared" ref="BS70:BY70" si="131">BS48-BS52-BS54</f>
        <v>0</v>
      </c>
      <c r="BT70" s="276">
        <f t="shared" si="131"/>
        <v>0</v>
      </c>
      <c r="BU70" s="276">
        <f t="shared" si="131"/>
        <v>0</v>
      </c>
      <c r="BV70" s="276">
        <f t="shared" si="131"/>
        <v>0</v>
      </c>
      <c r="BW70" s="276">
        <f t="shared" si="131"/>
        <v>0</v>
      </c>
      <c r="BX70" s="276">
        <f t="shared" si="131"/>
        <v>0</v>
      </c>
      <c r="BY70" s="276">
        <f t="shared" si="131"/>
        <v>0</v>
      </c>
      <c r="CA70" s="276">
        <f t="shared" ref="CA70:CG70" si="132">CA48-CA52-CA54</f>
        <v>0</v>
      </c>
      <c r="CB70" s="276">
        <f t="shared" si="132"/>
        <v>0</v>
      </c>
      <c r="CC70" s="276">
        <f t="shared" si="132"/>
        <v>0</v>
      </c>
      <c r="CD70" s="276">
        <f t="shared" si="132"/>
        <v>0</v>
      </c>
      <c r="CE70" s="276">
        <f t="shared" si="132"/>
        <v>0</v>
      </c>
      <c r="CF70" s="276">
        <f t="shared" si="132"/>
        <v>0</v>
      </c>
      <c r="CG70" s="276">
        <f t="shared" si="132"/>
        <v>0</v>
      </c>
      <c r="CI70" s="276">
        <f t="shared" ref="CI70:CO70" si="133">CI48-CI52-CI54</f>
        <v>0</v>
      </c>
      <c r="CJ70" s="276">
        <f t="shared" si="133"/>
        <v>0</v>
      </c>
      <c r="CK70" s="276">
        <f t="shared" si="133"/>
        <v>0</v>
      </c>
      <c r="CL70" s="276">
        <f t="shared" si="133"/>
        <v>0</v>
      </c>
      <c r="CM70" s="276">
        <f t="shared" si="133"/>
        <v>0</v>
      </c>
      <c r="CN70" s="276">
        <f t="shared" si="133"/>
        <v>0</v>
      </c>
      <c r="CO70" s="276">
        <f t="shared" si="133"/>
        <v>0</v>
      </c>
      <c r="CQ70" s="276">
        <f t="shared" ref="CQ70:CW70" si="134">CQ48-CQ52-CQ54</f>
        <v>0</v>
      </c>
      <c r="CR70" s="276">
        <f t="shared" si="134"/>
        <v>0</v>
      </c>
      <c r="CS70" s="276">
        <f t="shared" si="134"/>
        <v>0</v>
      </c>
      <c r="CT70" s="276">
        <f t="shared" si="134"/>
        <v>0</v>
      </c>
      <c r="CU70" s="276">
        <f t="shared" si="134"/>
        <v>0</v>
      </c>
      <c r="CV70" s="276">
        <f t="shared" si="134"/>
        <v>0</v>
      </c>
      <c r="CW70" s="276">
        <f t="shared" si="134"/>
        <v>0</v>
      </c>
    </row>
    <row r="71" spans="1:101" x14ac:dyDescent="0.25">
      <c r="A71" s="4" t="s">
        <v>226</v>
      </c>
    </row>
    <row r="72" spans="1:101" x14ac:dyDescent="0.25">
      <c r="A72" s="95" t="s">
        <v>227</v>
      </c>
    </row>
    <row r="73" spans="1:101" x14ac:dyDescent="0.25">
      <c r="A73" s="95" t="s">
        <v>228</v>
      </c>
    </row>
  </sheetData>
  <mergeCells count="12">
    <mergeCell ref="G15:M15"/>
    <mergeCell ref="O15:U15"/>
    <mergeCell ref="W15:AC15"/>
    <mergeCell ref="AE15:AK15"/>
    <mergeCell ref="CQ15:CW15"/>
    <mergeCell ref="CA15:CG15"/>
    <mergeCell ref="BS15:BY15"/>
    <mergeCell ref="BK15:BQ15"/>
    <mergeCell ref="AM15:AS15"/>
    <mergeCell ref="AU15:BA15"/>
    <mergeCell ref="BC15:BI15"/>
    <mergeCell ref="CI15:CO15"/>
  </mergeCells>
  <pageMargins left="0.7" right="0.7" top="0.75" bottom="0.75" header="0.3" footer="0.3"/>
  <pageSetup scale="4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C73"/>
  <sheetViews>
    <sheetView showGridLines="0" topLeftCell="B1" workbookViewId="0">
      <selection activeCell="B1" sqref="B1"/>
    </sheetView>
  </sheetViews>
  <sheetFormatPr defaultColWidth="9.140625" defaultRowHeight="15" outlineLevelRow="1" outlineLevelCol="1" x14ac:dyDescent="0.25"/>
  <cols>
    <col min="1" max="1" width="0" style="4" hidden="1" customWidth="1" outlineLevel="1"/>
    <col min="2" max="2" width="40.140625" style="4" customWidth="1" collapsed="1"/>
    <col min="3" max="3" width="9" style="4" customWidth="1"/>
    <col min="4" max="4" width="2.28515625" style="4" customWidth="1"/>
    <col min="5" max="5" width="9" style="4" bestFit="1" customWidth="1"/>
    <col min="6" max="6" width="2.28515625" style="4" customWidth="1"/>
    <col min="7" max="13" width="9" style="4" bestFit="1" customWidth="1"/>
    <col min="14" max="14" width="2.28515625" style="4" customWidth="1"/>
    <col min="15" max="15" width="8.85546875" style="4" bestFit="1" customWidth="1"/>
    <col min="16" max="19" width="8.85546875" style="4" customWidth="1"/>
    <col min="20" max="20" width="9.5703125" style="4" customWidth="1"/>
    <col min="21" max="21" width="8.85546875" style="4" customWidth="1"/>
    <col min="22" max="22" width="2.28515625" style="4" customWidth="1"/>
    <col min="23" max="27" width="8.85546875" style="4" bestFit="1" customWidth="1"/>
    <col min="28" max="28" width="9.5703125" style="4" bestFit="1" customWidth="1"/>
    <col min="29" max="29" width="8.85546875" style="4" bestFit="1" customWidth="1"/>
    <col min="30" max="30" width="2.28515625" style="4" customWidth="1"/>
    <col min="31" max="36" width="13.42578125" style="4" customWidth="1"/>
    <col min="37" max="37" width="10.7109375" style="4" customWidth="1"/>
    <col min="38" max="38" width="3.140625" style="4" customWidth="1"/>
    <col min="39" max="45" width="9.5703125" style="4" customWidth="1"/>
    <col min="46" max="46" width="3.140625" style="4" customWidth="1"/>
    <col min="47" max="53" width="11.5703125" style="4" customWidth="1"/>
    <col min="54" max="54" width="3.42578125" style="4" customWidth="1"/>
    <col min="55" max="57" width="9" style="4" customWidth="1"/>
    <col min="58" max="58" width="9.5703125" style="4" bestFit="1" customWidth="1"/>
    <col min="59" max="59" width="9" style="4" customWidth="1"/>
    <col min="60" max="60" width="9.5703125" style="4" bestFit="1" customWidth="1"/>
    <col min="61" max="61" width="9" style="4" customWidth="1"/>
    <col min="62" max="62" width="3.28515625" style="4" customWidth="1"/>
    <col min="63" max="67" width="9" style="4" customWidth="1"/>
    <col min="68" max="68" width="9.5703125" style="4" bestFit="1" customWidth="1"/>
    <col min="69" max="69" width="9" style="4" customWidth="1"/>
    <col min="70" max="70" width="3.42578125" style="4" customWidth="1"/>
    <col min="71" max="73" width="9" style="4" customWidth="1"/>
    <col min="74" max="74" width="9.5703125" style="4" bestFit="1" customWidth="1"/>
    <col min="75" max="75" width="9" style="4" customWidth="1"/>
    <col min="76" max="76" width="9.5703125" style="4" bestFit="1" customWidth="1"/>
    <col min="77" max="77" width="9" style="4" customWidth="1"/>
    <col min="78" max="78" width="3.42578125" style="4" customWidth="1"/>
    <col min="79" max="81" width="11.28515625" style="4" customWidth="1"/>
    <col min="82" max="16384" width="9.140625" style="4"/>
  </cols>
  <sheetData>
    <row r="1" spans="2:81" x14ac:dyDescent="0.25">
      <c r="B1" s="202" t="s">
        <v>89</v>
      </c>
      <c r="C1" s="79">
        <v>408.2</v>
      </c>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9"/>
      <c r="CC1" s="9"/>
    </row>
    <row r="2" spans="2:81" x14ac:dyDescent="0.25">
      <c r="B2" s="5" t="s">
        <v>42</v>
      </c>
      <c r="C2" s="206">
        <f>226.7+0.1</f>
        <v>226.79999999999998</v>
      </c>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218"/>
      <c r="CB2" s="218"/>
      <c r="CC2" s="218"/>
    </row>
    <row r="3" spans="2:81" ht="15" customHeight="1" x14ac:dyDescent="0.25">
      <c r="B3" s="42" t="s">
        <v>43</v>
      </c>
      <c r="C3" s="206">
        <v>5.6</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row>
    <row r="4" spans="2:81" s="14" customFormat="1" ht="15" customHeight="1" x14ac:dyDescent="0.25">
      <c r="B4" s="5" t="s">
        <v>44</v>
      </c>
      <c r="C4" s="206">
        <f>C1-C2-C3</f>
        <v>175.8</v>
      </c>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c r="CC4" s="218"/>
    </row>
    <row r="5" spans="2:81" s="14" customFormat="1" x14ac:dyDescent="0.25">
      <c r="B5" s="88"/>
      <c r="C5" s="206"/>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row>
    <row r="6" spans="2:81" s="14" customFormat="1" x14ac:dyDescent="0.25">
      <c r="B6" s="42" t="s">
        <v>239</v>
      </c>
      <c r="C6" s="74">
        <v>-53.7</v>
      </c>
      <c r="D6" s="218"/>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c r="BX6" s="218"/>
      <c r="BY6" s="218"/>
      <c r="BZ6" s="218"/>
      <c r="CA6" s="218"/>
      <c r="CB6" s="218"/>
      <c r="CC6" s="218"/>
    </row>
    <row r="7" spans="2:81" s="14" customFormat="1" x14ac:dyDescent="0.25">
      <c r="B7" s="42" t="s">
        <v>203</v>
      </c>
      <c r="C7" s="74">
        <v>55</v>
      </c>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c r="CC7" s="218"/>
    </row>
    <row r="8" spans="2:81" s="14" customFormat="1" ht="15.75" thickBot="1" x14ac:dyDescent="0.3">
      <c r="B8" s="87"/>
      <c r="C8" s="219"/>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row>
    <row r="9" spans="2:81" s="14" customFormat="1" x14ac:dyDescent="0.25">
      <c r="B9" s="42"/>
      <c r="C9" s="5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c r="BX9" s="218"/>
      <c r="BY9" s="218"/>
      <c r="BZ9" s="218"/>
      <c r="CA9" s="218"/>
      <c r="CB9" s="218"/>
      <c r="CC9" s="218"/>
    </row>
    <row r="10" spans="2:81" s="14" customFormat="1" x14ac:dyDescent="0.25">
      <c r="B10" s="42"/>
      <c r="C10" s="5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218"/>
      <c r="BY10" s="218"/>
      <c r="BZ10" s="218"/>
      <c r="CA10" s="218"/>
      <c r="CB10" s="218"/>
      <c r="CC10" s="218"/>
    </row>
    <row r="11" spans="2:81" s="14" customFormat="1" x14ac:dyDescent="0.25">
      <c r="B11" s="42"/>
      <c r="C11" s="5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c r="BX11" s="218"/>
      <c r="BY11" s="218"/>
      <c r="BZ11" s="218"/>
      <c r="CA11" s="218"/>
      <c r="CB11" s="218"/>
      <c r="CC11" s="218"/>
    </row>
    <row r="12" spans="2:81" s="14" customFormat="1" x14ac:dyDescent="0.25">
      <c r="B12" s="42"/>
      <c r="C12" s="5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c r="BW12" s="218"/>
      <c r="BX12" s="218"/>
      <c r="BY12" s="218"/>
      <c r="BZ12" s="218"/>
      <c r="CA12" s="218"/>
      <c r="CB12" s="218"/>
      <c r="CC12" s="218"/>
    </row>
    <row r="13" spans="2:81" ht="15.75" thickBot="1" x14ac:dyDescent="0.3">
      <c r="B13" s="88" t="str" cm="1">
        <f t="array" aca="1" ref="B13" ca="1">MID(CELL("filename",B1),FIND("]",CELL("filename",B1))+1,255)</f>
        <v>5.11 Tactical</v>
      </c>
      <c r="C13" s="22"/>
      <c r="D13" s="22"/>
      <c r="E13" s="22"/>
      <c r="F13" s="22"/>
      <c r="G13" s="22"/>
      <c r="H13" s="22"/>
      <c r="I13" s="22"/>
      <c r="J13" s="22"/>
      <c r="K13" s="22"/>
      <c r="L13" s="22"/>
      <c r="M13" s="22"/>
      <c r="N13" s="22"/>
      <c r="O13" s="551"/>
      <c r="P13" s="22"/>
      <c r="Q13" s="22"/>
      <c r="R13" s="22"/>
      <c r="S13" s="551"/>
      <c r="T13" s="551"/>
      <c r="U13" s="22"/>
      <c r="V13" s="22"/>
      <c r="W13" s="551"/>
      <c r="X13" s="22"/>
      <c r="Y13" s="22"/>
      <c r="Z13" s="22"/>
      <c r="AA13" s="551"/>
      <c r="AB13" s="551"/>
      <c r="AC13" s="22"/>
      <c r="AD13" s="22"/>
      <c r="AE13" s="551"/>
      <c r="AF13" s="22"/>
      <c r="AG13" s="22"/>
      <c r="AH13" s="22"/>
      <c r="AI13" s="551"/>
      <c r="AJ13" s="551"/>
      <c r="AK13" s="22"/>
      <c r="AL13" s="22"/>
      <c r="AM13" s="22"/>
      <c r="AN13" s="22"/>
      <c r="AO13" s="22"/>
      <c r="AP13" s="22"/>
      <c r="AQ13" s="22"/>
      <c r="AR13" s="22"/>
      <c r="AS13" s="551"/>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551"/>
    </row>
    <row r="14" spans="2:81" ht="15.75" thickBot="1" x14ac:dyDescent="0.3">
      <c r="B14" s="88"/>
      <c r="C14" s="218"/>
      <c r="D14" s="218"/>
      <c r="E14" s="737">
        <v>2026</v>
      </c>
      <c r="F14" s="218"/>
      <c r="G14" s="807">
        <v>2025</v>
      </c>
      <c r="H14" s="808"/>
      <c r="I14" s="808"/>
      <c r="J14" s="808"/>
      <c r="K14" s="808"/>
      <c r="L14" s="808"/>
      <c r="M14" s="809"/>
      <c r="N14" s="218"/>
      <c r="O14" s="807">
        <v>2024</v>
      </c>
      <c r="P14" s="808"/>
      <c r="Q14" s="808"/>
      <c r="R14" s="808"/>
      <c r="S14" s="808"/>
      <c r="T14" s="808"/>
      <c r="U14" s="809"/>
      <c r="V14" s="576"/>
      <c r="W14" s="807">
        <v>2023</v>
      </c>
      <c r="X14" s="808"/>
      <c r="Y14" s="808"/>
      <c r="Z14" s="808"/>
      <c r="AA14" s="808"/>
      <c r="AB14" s="808"/>
      <c r="AC14" s="809"/>
      <c r="AD14" s="576"/>
      <c r="AE14" s="807">
        <v>2022</v>
      </c>
      <c r="AF14" s="808"/>
      <c r="AG14" s="808"/>
      <c r="AH14" s="808"/>
      <c r="AI14" s="808"/>
      <c r="AJ14" s="808"/>
      <c r="AK14" s="809"/>
      <c r="AL14" s="218"/>
      <c r="AM14" s="816">
        <v>2021</v>
      </c>
      <c r="AN14" s="817"/>
      <c r="AO14" s="817"/>
      <c r="AP14" s="817"/>
      <c r="AQ14" s="817"/>
      <c r="AR14" s="817"/>
      <c r="AS14" s="818"/>
      <c r="AT14" s="218"/>
      <c r="AU14" s="819">
        <v>2020</v>
      </c>
      <c r="AV14" s="820"/>
      <c r="AW14" s="820"/>
      <c r="AX14" s="820"/>
      <c r="AY14" s="820"/>
      <c r="AZ14" s="820"/>
      <c r="BA14" s="821"/>
      <c r="BB14" s="218"/>
      <c r="BC14" s="810">
        <v>2019</v>
      </c>
      <c r="BD14" s="811"/>
      <c r="BE14" s="811"/>
      <c r="BF14" s="811"/>
      <c r="BG14" s="811"/>
      <c r="BH14" s="811"/>
      <c r="BI14" s="812"/>
      <c r="BJ14" s="218"/>
      <c r="BK14" s="810">
        <v>2018</v>
      </c>
      <c r="BL14" s="811"/>
      <c r="BM14" s="811"/>
      <c r="BN14" s="811"/>
      <c r="BO14" s="811"/>
      <c r="BP14" s="811"/>
      <c r="BQ14" s="812"/>
      <c r="BR14" s="218"/>
      <c r="BS14" s="810">
        <v>2017</v>
      </c>
      <c r="BT14" s="811"/>
      <c r="BU14" s="811"/>
      <c r="BV14" s="811"/>
      <c r="BW14" s="811"/>
      <c r="BX14" s="811"/>
      <c r="BY14" s="812"/>
      <c r="BZ14" s="218"/>
      <c r="CA14" s="810">
        <v>2016</v>
      </c>
      <c r="CB14" s="811"/>
      <c r="CC14" s="812"/>
    </row>
    <row r="15" spans="2:81" s="163" customFormat="1" x14ac:dyDescent="0.25">
      <c r="B15" s="88"/>
      <c r="C15" s="10"/>
      <c r="D15" s="10"/>
      <c r="E15" s="728" t="s">
        <v>3</v>
      </c>
      <c r="F15" s="10"/>
      <c r="G15" s="521" t="s">
        <v>3</v>
      </c>
      <c r="H15" s="97" t="s">
        <v>4</v>
      </c>
      <c r="I15" s="97" t="s">
        <v>5</v>
      </c>
      <c r="J15" s="10" t="s">
        <v>6</v>
      </c>
      <c r="K15" s="10" t="s">
        <v>7</v>
      </c>
      <c r="L15" s="10" t="s">
        <v>8</v>
      </c>
      <c r="M15" s="13" t="s">
        <v>9</v>
      </c>
      <c r="N15" s="10"/>
      <c r="O15" s="521" t="s">
        <v>3</v>
      </c>
      <c r="P15" s="97" t="s">
        <v>4</v>
      </c>
      <c r="Q15" s="97" t="s">
        <v>5</v>
      </c>
      <c r="R15" s="10" t="s">
        <v>6</v>
      </c>
      <c r="S15" s="10" t="s">
        <v>7</v>
      </c>
      <c r="T15" s="10" t="s">
        <v>8</v>
      </c>
      <c r="U15" s="10" t="s">
        <v>9</v>
      </c>
      <c r="V15" s="476"/>
      <c r="W15" s="521" t="s">
        <v>3</v>
      </c>
      <c r="X15" s="97" t="s">
        <v>4</v>
      </c>
      <c r="Y15" s="97" t="s">
        <v>5</v>
      </c>
      <c r="Z15" s="10" t="s">
        <v>6</v>
      </c>
      <c r="AA15" s="10" t="s">
        <v>7</v>
      </c>
      <c r="AB15" s="10" t="str">
        <f>AJ15</f>
        <v>Q4 QTD</v>
      </c>
      <c r="AC15" s="13" t="str">
        <f>AK15</f>
        <v>Q4 YTD</v>
      </c>
      <c r="AD15" s="476"/>
      <c r="AE15" s="521" t="s">
        <v>3</v>
      </c>
      <c r="AF15" s="97" t="s">
        <v>4</v>
      </c>
      <c r="AG15" s="97" t="s">
        <v>5</v>
      </c>
      <c r="AH15" s="10" t="s">
        <v>6</v>
      </c>
      <c r="AI15" s="10" t="s">
        <v>7</v>
      </c>
      <c r="AJ15" s="10" t="str">
        <f>AR15</f>
        <v>Q4 QTD</v>
      </c>
      <c r="AK15" s="13" t="str">
        <f>AS15</f>
        <v>Q4 YTD</v>
      </c>
      <c r="AL15" s="10"/>
      <c r="AM15" s="76" t="s">
        <v>3</v>
      </c>
      <c r="AN15" s="10" t="s">
        <v>4</v>
      </c>
      <c r="AO15" s="10" t="s">
        <v>5</v>
      </c>
      <c r="AP15" s="10" t="s">
        <v>6</v>
      </c>
      <c r="AQ15" s="10" t="s">
        <v>7</v>
      </c>
      <c r="AR15" s="10" t="s">
        <v>8</v>
      </c>
      <c r="AS15" s="13" t="s">
        <v>9</v>
      </c>
      <c r="AT15" s="10"/>
      <c r="AU15" s="76" t="s">
        <v>3</v>
      </c>
      <c r="AV15" s="10" t="s">
        <v>4</v>
      </c>
      <c r="AW15" s="10" t="s">
        <v>5</v>
      </c>
      <c r="AX15" s="10" t="s">
        <v>6</v>
      </c>
      <c r="AY15" s="10" t="s">
        <v>7</v>
      </c>
      <c r="AZ15" s="10" t="s">
        <v>8</v>
      </c>
      <c r="BA15" s="13" t="s">
        <v>9</v>
      </c>
      <c r="BB15" s="10"/>
      <c r="BC15" s="76" t="s">
        <v>3</v>
      </c>
      <c r="BD15" s="10" t="s">
        <v>4</v>
      </c>
      <c r="BE15" s="10" t="s">
        <v>5</v>
      </c>
      <c r="BF15" s="10" t="s">
        <v>6</v>
      </c>
      <c r="BG15" s="10" t="s">
        <v>7</v>
      </c>
      <c r="BH15" s="10" t="s">
        <v>8</v>
      </c>
      <c r="BI15" s="13" t="s">
        <v>9</v>
      </c>
      <c r="BJ15" s="10"/>
      <c r="BK15" s="76" t="s">
        <v>3</v>
      </c>
      <c r="BL15" s="10" t="s">
        <v>4</v>
      </c>
      <c r="BM15" s="10" t="s">
        <v>5</v>
      </c>
      <c r="BN15" s="10" t="s">
        <v>6</v>
      </c>
      <c r="BO15" s="10" t="s">
        <v>7</v>
      </c>
      <c r="BP15" s="10" t="s">
        <v>8</v>
      </c>
      <c r="BQ15" s="13" t="s">
        <v>9</v>
      </c>
      <c r="BR15" s="10"/>
      <c r="BS15" s="76" t="s">
        <v>3</v>
      </c>
      <c r="BT15" s="10" t="s">
        <v>4</v>
      </c>
      <c r="BU15" s="10" t="s">
        <v>5</v>
      </c>
      <c r="BV15" s="10" t="s">
        <v>6</v>
      </c>
      <c r="BW15" s="10" t="s">
        <v>7</v>
      </c>
      <c r="BX15" s="10" t="s">
        <v>8</v>
      </c>
      <c r="BY15" s="13" t="s">
        <v>9</v>
      </c>
      <c r="BZ15" s="10"/>
      <c r="CA15" s="76" t="s">
        <v>7</v>
      </c>
      <c r="CB15" s="10" t="s">
        <v>8</v>
      </c>
      <c r="CC15" s="13" t="s">
        <v>9</v>
      </c>
    </row>
    <row r="16" spans="2:81" x14ac:dyDescent="0.25">
      <c r="B16" s="42"/>
      <c r="C16" s="22"/>
      <c r="D16" s="22"/>
      <c r="E16" s="577"/>
      <c r="F16" s="22"/>
      <c r="G16" s="24"/>
      <c r="H16" s="405"/>
      <c r="I16" s="405"/>
      <c r="J16" s="405"/>
      <c r="K16" s="405"/>
      <c r="L16" s="405"/>
      <c r="M16" s="23"/>
      <c r="N16" s="22"/>
      <c r="O16" s="24"/>
      <c r="P16" s="405"/>
      <c r="Q16" s="405"/>
      <c r="R16" s="405"/>
      <c r="S16" s="405"/>
      <c r="T16" s="405"/>
      <c r="U16" s="23"/>
      <c r="V16" s="577"/>
      <c r="W16" s="24"/>
      <c r="X16" s="405"/>
      <c r="Y16" s="405"/>
      <c r="Z16" s="405"/>
      <c r="AA16" s="405"/>
      <c r="AB16" s="405"/>
      <c r="AC16" s="23"/>
      <c r="AD16" s="577"/>
      <c r="AE16" s="24"/>
      <c r="AF16" s="405"/>
      <c r="AG16" s="405"/>
      <c r="AH16" s="405"/>
      <c r="AI16" s="405"/>
      <c r="AJ16" s="405"/>
      <c r="AK16" s="23"/>
      <c r="AL16" s="22"/>
      <c r="AM16" s="24"/>
      <c r="AN16" s="405"/>
      <c r="AO16" s="405"/>
      <c r="AP16" s="405"/>
      <c r="AQ16" s="405"/>
      <c r="AR16" s="405"/>
      <c r="AS16" s="23"/>
      <c r="AT16" s="22"/>
      <c r="AU16" s="24"/>
      <c r="AV16" s="405"/>
      <c r="AW16" s="405"/>
      <c r="AX16" s="405"/>
      <c r="AY16" s="405"/>
      <c r="AZ16" s="405"/>
      <c r="BA16" s="23"/>
      <c r="BB16" s="22"/>
      <c r="BC16" s="24"/>
      <c r="BD16" s="22"/>
      <c r="BE16" s="22"/>
      <c r="BF16" s="22"/>
      <c r="BG16" s="22"/>
      <c r="BH16" s="22"/>
      <c r="BI16" s="23"/>
      <c r="BJ16" s="22"/>
      <c r="BK16" s="24"/>
      <c r="BL16" s="22"/>
      <c r="BM16" s="22"/>
      <c r="BN16" s="22"/>
      <c r="BO16" s="22"/>
      <c r="BP16" s="22"/>
      <c r="BQ16" s="23"/>
      <c r="BR16" s="22"/>
      <c r="BS16" s="24"/>
      <c r="BT16" s="22"/>
      <c r="BU16" s="22"/>
      <c r="BV16" s="22"/>
      <c r="BW16" s="22"/>
      <c r="BX16" s="22"/>
      <c r="BY16" s="23"/>
      <c r="BZ16" s="22"/>
      <c r="CA16" s="83"/>
      <c r="CB16" s="36"/>
      <c r="CC16" s="37"/>
    </row>
    <row r="17" spans="1:81" s="14" customFormat="1" x14ac:dyDescent="0.25">
      <c r="A17" s="4" t="s">
        <v>10</v>
      </c>
      <c r="B17" s="88" t="s">
        <v>10</v>
      </c>
      <c r="C17" s="20"/>
      <c r="D17" s="20"/>
      <c r="E17" s="706">
        <v>123972.33500000001</v>
      </c>
      <c r="F17" s="20"/>
      <c r="G17" s="567">
        <v>129370.462</v>
      </c>
      <c r="H17" s="406">
        <v>131441.66699999999</v>
      </c>
      <c r="I17" s="406">
        <v>260812.12899999999</v>
      </c>
      <c r="J17" s="406">
        <v>143239.674</v>
      </c>
      <c r="K17" s="406">
        <v>404051.80300000001</v>
      </c>
      <c r="L17" s="406">
        <v>147793.46599999999</v>
      </c>
      <c r="M17" s="21">
        <v>551845.26899999997</v>
      </c>
      <c r="N17" s="20"/>
      <c r="O17" s="567">
        <v>124974</v>
      </c>
      <c r="P17" s="406">
        <v>123201</v>
      </c>
      <c r="Q17" s="406">
        <v>248175</v>
      </c>
      <c r="R17" s="406">
        <v>139218</v>
      </c>
      <c r="S17" s="406">
        <v>387393</v>
      </c>
      <c r="T17" s="406">
        <v>144768</v>
      </c>
      <c r="U17" s="406">
        <v>532161</v>
      </c>
      <c r="V17" s="578"/>
      <c r="W17" s="567">
        <v>124453</v>
      </c>
      <c r="X17" s="406">
        <f>Y17-W17</f>
        <v>126029</v>
      </c>
      <c r="Y17" s="406">
        <v>250482</v>
      </c>
      <c r="Z17" s="406">
        <f>AA17-Y17</f>
        <v>135213</v>
      </c>
      <c r="AA17" s="423">
        <v>385695</v>
      </c>
      <c r="AB17" s="406">
        <f>AC17-AA17</f>
        <v>147394.45400000003</v>
      </c>
      <c r="AC17" s="21">
        <v>533089.45400000003</v>
      </c>
      <c r="AD17" s="578"/>
      <c r="AE17" s="25">
        <v>104023</v>
      </c>
      <c r="AF17" s="406">
        <f>AG17-AE17</f>
        <v>120048</v>
      </c>
      <c r="AG17" s="406">
        <v>224071</v>
      </c>
      <c r="AH17" s="406">
        <f>AI17-AG17</f>
        <v>126537</v>
      </c>
      <c r="AI17" s="406">
        <v>350608</v>
      </c>
      <c r="AJ17" s="406">
        <f>AK17-AI17</f>
        <v>135605</v>
      </c>
      <c r="AK17" s="21">
        <v>486213</v>
      </c>
      <c r="AL17" s="20"/>
      <c r="AM17" s="25">
        <v>99877</v>
      </c>
      <c r="AN17" s="406">
        <v>110033</v>
      </c>
      <c r="AO17" s="406">
        <v>209910</v>
      </c>
      <c r="AP17" s="406">
        <v>111099</v>
      </c>
      <c r="AQ17" s="406">
        <v>321009</v>
      </c>
      <c r="AR17" s="406">
        <f>AS17-AQ17</f>
        <v>123954</v>
      </c>
      <c r="AS17" s="21">
        <v>444963</v>
      </c>
      <c r="AT17" s="20"/>
      <c r="AU17" s="25">
        <v>95780</v>
      </c>
      <c r="AV17" s="406">
        <v>87635</v>
      </c>
      <c r="AW17" s="406">
        <v>183415</v>
      </c>
      <c r="AX17" s="406">
        <v>98407</v>
      </c>
      <c r="AY17" s="406">
        <v>281822</v>
      </c>
      <c r="AZ17" s="406">
        <v>119284</v>
      </c>
      <c r="BA17" s="21">
        <v>401106</v>
      </c>
      <c r="BB17" s="20"/>
      <c r="BC17" s="25">
        <v>88089</v>
      </c>
      <c r="BD17" s="20">
        <v>92836</v>
      </c>
      <c r="BE17" s="20">
        <v>180925</v>
      </c>
      <c r="BF17" s="20">
        <v>98053</v>
      </c>
      <c r="BG17" s="20">
        <v>278978</v>
      </c>
      <c r="BH17" s="20">
        <v>109667</v>
      </c>
      <c r="BI17" s="21">
        <v>388645</v>
      </c>
      <c r="BJ17" s="20"/>
      <c r="BK17" s="25">
        <v>83957</v>
      </c>
      <c r="BL17" s="20">
        <v>84723</v>
      </c>
      <c r="BM17" s="20">
        <v>168680</v>
      </c>
      <c r="BN17" s="20">
        <v>83342</v>
      </c>
      <c r="BO17" s="20">
        <v>252022</v>
      </c>
      <c r="BP17" s="20">
        <v>95899</v>
      </c>
      <c r="BQ17" s="21">
        <v>347921</v>
      </c>
      <c r="BR17" s="20"/>
      <c r="BS17" s="25">
        <v>78513</v>
      </c>
      <c r="BT17" s="20">
        <v>77953</v>
      </c>
      <c r="BU17" s="20">
        <v>156466</v>
      </c>
      <c r="BV17" s="20">
        <v>72005</v>
      </c>
      <c r="BW17" s="20">
        <v>228471</v>
      </c>
      <c r="BX17" s="20">
        <v>81528</v>
      </c>
      <c r="BY17" s="21">
        <v>309999</v>
      </c>
      <c r="BZ17" s="20"/>
      <c r="CA17" s="84">
        <v>27203</v>
      </c>
      <c r="CB17" s="39">
        <v>82589</v>
      </c>
      <c r="CC17" s="40">
        <v>109792</v>
      </c>
    </row>
    <row r="18" spans="1:81" s="194" customFormat="1" ht="17.25" x14ac:dyDescent="0.4">
      <c r="A18" s="4" t="s">
        <v>210</v>
      </c>
      <c r="B18" s="88" t="s">
        <v>11</v>
      </c>
      <c r="C18" s="290"/>
      <c r="D18" s="290"/>
      <c r="E18" s="739">
        <v>56388.36</v>
      </c>
      <c r="F18" s="290"/>
      <c r="G18" s="568">
        <v>59621.720999999998</v>
      </c>
      <c r="H18" s="407">
        <v>60980.675000000003</v>
      </c>
      <c r="I18" s="407">
        <v>120602.39599999999</v>
      </c>
      <c r="J18" s="407">
        <v>65992.698000000004</v>
      </c>
      <c r="K18" s="407">
        <v>186595.09400000001</v>
      </c>
      <c r="L18" s="407">
        <v>69879.035999999993</v>
      </c>
      <c r="M18" s="292">
        <v>256474.13</v>
      </c>
      <c r="N18" s="290"/>
      <c r="O18" s="568">
        <v>59047</v>
      </c>
      <c r="P18" s="407">
        <v>55716</v>
      </c>
      <c r="Q18" s="407">
        <v>114763</v>
      </c>
      <c r="R18" s="407">
        <v>64493</v>
      </c>
      <c r="S18" s="407">
        <v>179256</v>
      </c>
      <c r="T18" s="407">
        <v>79685</v>
      </c>
      <c r="U18" s="407">
        <v>258941</v>
      </c>
      <c r="V18" s="579"/>
      <c r="W18" s="568">
        <v>59510</v>
      </c>
      <c r="X18" s="407">
        <f t="shared" ref="X18:AB57" si="0">Y18-W18</f>
        <v>58136</v>
      </c>
      <c r="Y18" s="407">
        <v>117646</v>
      </c>
      <c r="Z18" s="407">
        <f t="shared" si="0"/>
        <v>64850</v>
      </c>
      <c r="AA18" s="427">
        <v>182496</v>
      </c>
      <c r="AB18" s="407">
        <f t="shared" si="0"/>
        <v>73291.991999999998</v>
      </c>
      <c r="AC18" s="292">
        <v>255787.992</v>
      </c>
      <c r="AD18" s="579"/>
      <c r="AE18" s="291">
        <v>49843</v>
      </c>
      <c r="AF18" s="407">
        <f t="shared" ref="AF18:AF44" si="1">AG18-AE18</f>
        <v>54944</v>
      </c>
      <c r="AG18" s="407">
        <v>104787</v>
      </c>
      <c r="AH18" s="407">
        <f t="shared" ref="AH18:AH44" si="2">AI18-AG18</f>
        <v>59334</v>
      </c>
      <c r="AI18" s="407">
        <v>164121</v>
      </c>
      <c r="AJ18" s="407">
        <f t="shared" ref="AJ18:AJ44" si="3">AK18-AI18</f>
        <v>65085</v>
      </c>
      <c r="AK18" s="292">
        <v>229206</v>
      </c>
      <c r="AL18" s="290"/>
      <c r="AM18" s="291">
        <v>47803</v>
      </c>
      <c r="AN18" s="407">
        <v>51392</v>
      </c>
      <c r="AO18" s="407">
        <v>99195</v>
      </c>
      <c r="AP18" s="407">
        <v>51766</v>
      </c>
      <c r="AQ18" s="407">
        <v>150961</v>
      </c>
      <c r="AR18" s="407">
        <f t="shared" ref="AR18:AR43" si="4">AS18-AQ18</f>
        <v>58714</v>
      </c>
      <c r="AS18" s="292">
        <v>209675</v>
      </c>
      <c r="AT18" s="290"/>
      <c r="AU18" s="291">
        <v>48524</v>
      </c>
      <c r="AV18" s="407">
        <v>43314</v>
      </c>
      <c r="AW18" s="407">
        <v>91838</v>
      </c>
      <c r="AX18" s="407">
        <v>47142</v>
      </c>
      <c r="AY18" s="407">
        <v>138980</v>
      </c>
      <c r="AZ18" s="407">
        <v>59881</v>
      </c>
      <c r="BA18" s="292">
        <v>198861</v>
      </c>
      <c r="BB18" s="290"/>
      <c r="BC18" s="291">
        <v>45144</v>
      </c>
      <c r="BD18" s="290">
        <v>47361</v>
      </c>
      <c r="BE18" s="290">
        <v>92505</v>
      </c>
      <c r="BF18" s="290">
        <v>49849</v>
      </c>
      <c r="BG18" s="290">
        <v>142354</v>
      </c>
      <c r="BH18" s="290">
        <v>54697</v>
      </c>
      <c r="BI18" s="292">
        <v>197051</v>
      </c>
      <c r="BJ18" s="290"/>
      <c r="BK18" s="291">
        <v>45406</v>
      </c>
      <c r="BL18" s="290">
        <v>44049</v>
      </c>
      <c r="BM18" s="290">
        <v>89455</v>
      </c>
      <c r="BN18" s="290">
        <v>43373</v>
      </c>
      <c r="BO18" s="290">
        <v>132828</v>
      </c>
      <c r="BP18" s="290">
        <v>54295</v>
      </c>
      <c r="BQ18" s="292">
        <v>187123</v>
      </c>
      <c r="BR18" s="290"/>
      <c r="BS18" s="291">
        <v>54663</v>
      </c>
      <c r="BT18" s="290">
        <v>49475</v>
      </c>
      <c r="BU18" s="290">
        <v>104138</v>
      </c>
      <c r="BV18" s="290">
        <v>37452</v>
      </c>
      <c r="BW18" s="290">
        <v>141590</v>
      </c>
      <c r="BX18" s="290">
        <v>40702</v>
      </c>
      <c r="BY18" s="292">
        <v>182292</v>
      </c>
      <c r="BZ18" s="290"/>
      <c r="CA18" s="212">
        <v>20192</v>
      </c>
      <c r="CB18" s="213">
        <v>58599</v>
      </c>
      <c r="CC18" s="214">
        <v>78791</v>
      </c>
    </row>
    <row r="19" spans="1:81" s="14" customFormat="1" x14ac:dyDescent="0.25">
      <c r="A19" s="4" t="s">
        <v>12</v>
      </c>
      <c r="B19" s="88" t="s">
        <v>12</v>
      </c>
      <c r="C19" s="20"/>
      <c r="D19" s="20"/>
      <c r="E19" s="706">
        <f>E17-E18</f>
        <v>67583.975000000006</v>
      </c>
      <c r="F19" s="20"/>
      <c r="G19" s="567">
        <f>G17-G18</f>
        <v>69748.741000000009</v>
      </c>
      <c r="H19" s="608">
        <f t="shared" ref="H19:M19" si="5">H17-H18</f>
        <v>70460.991999999984</v>
      </c>
      <c r="I19" s="608">
        <f t="shared" si="5"/>
        <v>140209.73300000001</v>
      </c>
      <c r="J19" s="608">
        <f t="shared" si="5"/>
        <v>77246.975999999995</v>
      </c>
      <c r="K19" s="608">
        <f t="shared" si="5"/>
        <v>217456.709</v>
      </c>
      <c r="L19" s="608">
        <f t="shared" si="5"/>
        <v>77914.429999999993</v>
      </c>
      <c r="M19" s="622">
        <f t="shared" si="5"/>
        <v>295371.13899999997</v>
      </c>
      <c r="N19" s="20"/>
      <c r="O19" s="567">
        <f>O17-O18</f>
        <v>65927</v>
      </c>
      <c r="P19" s="608">
        <f t="shared" ref="P19:Q19" si="6">P17-P18</f>
        <v>67485</v>
      </c>
      <c r="Q19" s="608">
        <f t="shared" si="6"/>
        <v>133412</v>
      </c>
      <c r="R19" s="608">
        <f t="shared" ref="R19:S19" si="7">R17-R18</f>
        <v>74725</v>
      </c>
      <c r="S19" s="608">
        <f t="shared" si="7"/>
        <v>208137</v>
      </c>
      <c r="T19" s="608">
        <f t="shared" ref="T19:U19" si="8">T17-T18</f>
        <v>65083</v>
      </c>
      <c r="U19" s="608">
        <f t="shared" si="8"/>
        <v>273220</v>
      </c>
      <c r="V19" s="578"/>
      <c r="W19" s="567">
        <v>64943</v>
      </c>
      <c r="X19" s="406">
        <f t="shared" si="0"/>
        <v>67893</v>
      </c>
      <c r="Y19" s="406">
        <v>132836</v>
      </c>
      <c r="Z19" s="406">
        <f t="shared" si="0"/>
        <v>70363</v>
      </c>
      <c r="AA19" s="423">
        <v>203199</v>
      </c>
      <c r="AB19" s="406">
        <f t="shared" si="0"/>
        <v>74102.462</v>
      </c>
      <c r="AC19" s="21">
        <v>277301.462</v>
      </c>
      <c r="AD19" s="578"/>
      <c r="AE19" s="25">
        <f>AE17-AE18</f>
        <v>54180</v>
      </c>
      <c r="AF19" s="406">
        <f t="shared" si="1"/>
        <v>65104</v>
      </c>
      <c r="AG19" s="406">
        <v>119284</v>
      </c>
      <c r="AH19" s="406">
        <f t="shared" si="2"/>
        <v>67203</v>
      </c>
      <c r="AI19" s="406">
        <v>186487</v>
      </c>
      <c r="AJ19" s="406">
        <f t="shared" si="3"/>
        <v>70520</v>
      </c>
      <c r="AK19" s="21">
        <v>257007</v>
      </c>
      <c r="AL19" s="20"/>
      <c r="AM19" s="25">
        <v>52074</v>
      </c>
      <c r="AN19" s="406">
        <v>58641</v>
      </c>
      <c r="AO19" s="406">
        <v>110715</v>
      </c>
      <c r="AP19" s="406">
        <v>59333</v>
      </c>
      <c r="AQ19" s="406">
        <v>170048</v>
      </c>
      <c r="AR19" s="406">
        <f t="shared" si="4"/>
        <v>65240</v>
      </c>
      <c r="AS19" s="21">
        <f>AS17-AS18</f>
        <v>235288</v>
      </c>
      <c r="AT19" s="20"/>
      <c r="AU19" s="25">
        <v>47256</v>
      </c>
      <c r="AV19" s="406">
        <v>44321</v>
      </c>
      <c r="AW19" s="406">
        <v>91577</v>
      </c>
      <c r="AX19" s="406">
        <v>51265</v>
      </c>
      <c r="AY19" s="406">
        <v>142842</v>
      </c>
      <c r="AZ19" s="406">
        <v>59403</v>
      </c>
      <c r="BA19" s="21">
        <v>202245</v>
      </c>
      <c r="BB19" s="20"/>
      <c r="BC19" s="25">
        <v>42945</v>
      </c>
      <c r="BD19" s="20">
        <v>45475</v>
      </c>
      <c r="BE19" s="20">
        <v>88420</v>
      </c>
      <c r="BF19" s="20">
        <v>48204</v>
      </c>
      <c r="BG19" s="20">
        <v>136624</v>
      </c>
      <c r="BH19" s="20">
        <v>54970</v>
      </c>
      <c r="BI19" s="21">
        <v>191594</v>
      </c>
      <c r="BJ19" s="20"/>
      <c r="BK19" s="25">
        <v>38551</v>
      </c>
      <c r="BL19" s="20">
        <v>40674</v>
      </c>
      <c r="BM19" s="20">
        <v>79225</v>
      </c>
      <c r="BN19" s="20">
        <v>39969</v>
      </c>
      <c r="BO19" s="20">
        <v>119194</v>
      </c>
      <c r="BP19" s="20">
        <v>41604</v>
      </c>
      <c r="BQ19" s="21">
        <v>160798</v>
      </c>
      <c r="BR19" s="20"/>
      <c r="BS19" s="25">
        <v>23850</v>
      </c>
      <c r="BT19" s="20">
        <v>28478</v>
      </c>
      <c r="BU19" s="20">
        <v>52328</v>
      </c>
      <c r="BV19" s="20">
        <v>34553</v>
      </c>
      <c r="BW19" s="20">
        <v>86881</v>
      </c>
      <c r="BX19" s="20">
        <v>40826</v>
      </c>
      <c r="BY19" s="21">
        <v>127707</v>
      </c>
      <c r="BZ19" s="20"/>
      <c r="CA19" s="84">
        <v>7011</v>
      </c>
      <c r="CB19" s="39">
        <v>23990</v>
      </c>
      <c r="CC19" s="40">
        <v>31001</v>
      </c>
    </row>
    <row r="20" spans="1:81" ht="15" customHeight="1" outlineLevel="1" x14ac:dyDescent="0.25">
      <c r="A20" s="4" t="s">
        <v>211</v>
      </c>
      <c r="B20" s="42" t="s">
        <v>13</v>
      </c>
      <c r="C20" s="28"/>
      <c r="D20" s="28"/>
      <c r="E20" s="740">
        <v>57453.264999999999</v>
      </c>
      <c r="F20" s="28"/>
      <c r="G20" s="569">
        <v>58753.593999999997</v>
      </c>
      <c r="H20" s="408">
        <v>58287.782999999996</v>
      </c>
      <c r="I20" s="408">
        <v>117041.37700000001</v>
      </c>
      <c r="J20" s="408">
        <v>58556.963000000003</v>
      </c>
      <c r="K20" s="408">
        <v>175598.34</v>
      </c>
      <c r="L20" s="408">
        <v>58649.057999999997</v>
      </c>
      <c r="M20" s="29">
        <v>234247.39800000002</v>
      </c>
      <c r="N20" s="28"/>
      <c r="O20" s="569">
        <v>55339</v>
      </c>
      <c r="P20" s="408">
        <v>54365</v>
      </c>
      <c r="Q20" s="408">
        <v>109704</v>
      </c>
      <c r="R20" s="408">
        <v>57367</v>
      </c>
      <c r="S20" s="408">
        <v>167071</v>
      </c>
      <c r="T20" s="408">
        <v>57619</v>
      </c>
      <c r="U20" s="408">
        <v>224690</v>
      </c>
      <c r="V20" s="580"/>
      <c r="W20" s="569">
        <v>54831</v>
      </c>
      <c r="X20" s="408">
        <f t="shared" si="0"/>
        <v>54870</v>
      </c>
      <c r="Y20" s="408">
        <v>109701</v>
      </c>
      <c r="Z20" s="408">
        <f t="shared" si="0"/>
        <v>54535</v>
      </c>
      <c r="AA20" s="424">
        <v>164236</v>
      </c>
      <c r="AB20" s="408">
        <f t="shared" si="0"/>
        <v>56633.592999999993</v>
      </c>
      <c r="AC20" s="29">
        <v>220869.59299999999</v>
      </c>
      <c r="AD20" s="580"/>
      <c r="AE20" s="27">
        <v>45833</v>
      </c>
      <c r="AF20" s="408">
        <f t="shared" si="1"/>
        <v>50358.077989999991</v>
      </c>
      <c r="AG20" s="408">
        <v>96191.077989999991</v>
      </c>
      <c r="AH20" s="408">
        <f t="shared" si="2"/>
        <v>52669.922010000009</v>
      </c>
      <c r="AI20" s="408">
        <v>148861</v>
      </c>
      <c r="AJ20" s="408">
        <f t="shared" si="3"/>
        <v>54848</v>
      </c>
      <c r="AK20" s="29">
        <v>203709</v>
      </c>
      <c r="AL20" s="28"/>
      <c r="AM20" s="27">
        <v>43775</v>
      </c>
      <c r="AN20" s="408">
        <v>44209</v>
      </c>
      <c r="AO20" s="408">
        <v>87984</v>
      </c>
      <c r="AP20" s="408">
        <v>46789</v>
      </c>
      <c r="AQ20" s="408">
        <v>134773</v>
      </c>
      <c r="AR20" s="408">
        <f t="shared" si="4"/>
        <v>51317</v>
      </c>
      <c r="AS20" s="29">
        <v>186090</v>
      </c>
      <c r="AT20" s="28"/>
      <c r="AU20" s="27">
        <v>40235</v>
      </c>
      <c r="AV20" s="408">
        <v>37183</v>
      </c>
      <c r="AW20" s="408">
        <v>77418</v>
      </c>
      <c r="AX20" s="408">
        <v>40146</v>
      </c>
      <c r="AY20" s="408">
        <v>117564</v>
      </c>
      <c r="AZ20" s="408">
        <v>44823</v>
      </c>
      <c r="BA20" s="29">
        <v>162387</v>
      </c>
      <c r="BB20" s="28"/>
      <c r="BC20" s="27">
        <v>38171</v>
      </c>
      <c r="BD20" s="28">
        <v>37965</v>
      </c>
      <c r="BE20" s="28">
        <v>76136</v>
      </c>
      <c r="BF20" s="28">
        <v>39791</v>
      </c>
      <c r="BG20" s="28">
        <v>115927</v>
      </c>
      <c r="BH20" s="28">
        <v>43514</v>
      </c>
      <c r="BI20" s="29">
        <v>159441</v>
      </c>
      <c r="BJ20" s="28"/>
      <c r="BK20" s="27">
        <v>36732</v>
      </c>
      <c r="BL20" s="28">
        <v>36218</v>
      </c>
      <c r="BM20" s="28">
        <v>72950</v>
      </c>
      <c r="BN20" s="28">
        <v>35792</v>
      </c>
      <c r="BO20" s="28">
        <v>108742</v>
      </c>
      <c r="BP20" s="28">
        <v>38395</v>
      </c>
      <c r="BQ20" s="29">
        <v>147137</v>
      </c>
      <c r="BR20" s="28"/>
      <c r="BS20" s="27">
        <v>30763</v>
      </c>
      <c r="BT20" s="28">
        <v>30867</v>
      </c>
      <c r="BU20" s="28">
        <v>61630</v>
      </c>
      <c r="BV20" s="28">
        <v>32370</v>
      </c>
      <c r="BW20" s="28">
        <v>94000</v>
      </c>
      <c r="BX20" s="28">
        <v>30970</v>
      </c>
      <c r="BY20" s="29">
        <v>124970</v>
      </c>
      <c r="BZ20" s="28"/>
      <c r="CA20" s="85">
        <v>8722</v>
      </c>
      <c r="CB20" s="38">
        <v>29369</v>
      </c>
      <c r="CC20" s="86">
        <v>38091</v>
      </c>
    </row>
    <row r="21" spans="1:81" ht="15" customHeight="1" outlineLevel="1" x14ac:dyDescent="0.25">
      <c r="A21" s="4" t="s">
        <v>212</v>
      </c>
      <c r="B21" s="42" t="s">
        <v>14</v>
      </c>
      <c r="C21" s="28"/>
      <c r="D21" s="28"/>
      <c r="E21" s="740">
        <v>250</v>
      </c>
      <c r="F21" s="28"/>
      <c r="G21" s="569">
        <v>250</v>
      </c>
      <c r="H21" s="408">
        <v>249.999</v>
      </c>
      <c r="I21" s="408">
        <v>499.99900000000002</v>
      </c>
      <c r="J21" s="408">
        <v>250.001</v>
      </c>
      <c r="K21" s="408">
        <v>750</v>
      </c>
      <c r="L21" s="408">
        <v>249.99700000000001</v>
      </c>
      <c r="M21" s="29">
        <v>999.99699999999996</v>
      </c>
      <c r="N21" s="28"/>
      <c r="O21" s="569">
        <v>250</v>
      </c>
      <c r="P21" s="408">
        <v>250</v>
      </c>
      <c r="Q21" s="408">
        <v>500</v>
      </c>
      <c r="R21" s="408">
        <v>250</v>
      </c>
      <c r="S21" s="408">
        <v>750</v>
      </c>
      <c r="T21" s="408">
        <v>250</v>
      </c>
      <c r="U21" s="408">
        <v>1000</v>
      </c>
      <c r="V21" s="580"/>
      <c r="W21" s="569">
        <v>250</v>
      </c>
      <c r="X21" s="408">
        <f t="shared" si="0"/>
        <v>250</v>
      </c>
      <c r="Y21" s="408">
        <v>500</v>
      </c>
      <c r="Z21" s="408">
        <f t="shared" si="0"/>
        <v>250</v>
      </c>
      <c r="AA21" s="424">
        <v>750</v>
      </c>
      <c r="AB21" s="408">
        <f t="shared" si="0"/>
        <v>249.99900000000002</v>
      </c>
      <c r="AC21" s="29">
        <v>999.99900000000002</v>
      </c>
      <c r="AD21" s="580"/>
      <c r="AE21" s="27">
        <v>250</v>
      </c>
      <c r="AF21" s="408">
        <f t="shared" si="1"/>
        <v>250</v>
      </c>
      <c r="AG21" s="408">
        <v>500</v>
      </c>
      <c r="AH21" s="408">
        <f t="shared" si="2"/>
        <v>250</v>
      </c>
      <c r="AI21" s="408">
        <v>750</v>
      </c>
      <c r="AJ21" s="408">
        <f t="shared" si="3"/>
        <v>250</v>
      </c>
      <c r="AK21" s="29">
        <v>1000</v>
      </c>
      <c r="AL21" s="28"/>
      <c r="AM21" s="27">
        <v>250</v>
      </c>
      <c r="AN21" s="408">
        <v>250</v>
      </c>
      <c r="AO21" s="408">
        <v>500</v>
      </c>
      <c r="AP21" s="408">
        <v>250</v>
      </c>
      <c r="AQ21" s="408">
        <v>750</v>
      </c>
      <c r="AR21" s="408">
        <f t="shared" si="4"/>
        <v>250</v>
      </c>
      <c r="AS21" s="29">
        <v>1000</v>
      </c>
      <c r="AT21" s="28"/>
      <c r="AU21" s="27">
        <v>250</v>
      </c>
      <c r="AV21" s="408">
        <v>250</v>
      </c>
      <c r="AW21" s="408">
        <v>500</v>
      </c>
      <c r="AX21" s="408">
        <v>250</v>
      </c>
      <c r="AY21" s="408">
        <v>750</v>
      </c>
      <c r="AZ21" s="408">
        <v>250</v>
      </c>
      <c r="BA21" s="29">
        <v>1000</v>
      </c>
      <c r="BB21" s="28"/>
      <c r="BC21" s="27">
        <v>250</v>
      </c>
      <c r="BD21" s="28">
        <v>250</v>
      </c>
      <c r="BE21" s="28">
        <v>500</v>
      </c>
      <c r="BF21" s="28">
        <v>250</v>
      </c>
      <c r="BG21" s="28">
        <v>750</v>
      </c>
      <c r="BH21" s="28">
        <v>250</v>
      </c>
      <c r="BI21" s="29">
        <v>1000</v>
      </c>
      <c r="BJ21" s="28"/>
      <c r="BK21" s="27">
        <v>250</v>
      </c>
      <c r="BL21" s="28">
        <v>250</v>
      </c>
      <c r="BM21" s="28">
        <v>500</v>
      </c>
      <c r="BN21" s="28">
        <v>250</v>
      </c>
      <c r="BO21" s="28">
        <v>750</v>
      </c>
      <c r="BP21" s="28">
        <v>250</v>
      </c>
      <c r="BQ21" s="29">
        <v>1000</v>
      </c>
      <c r="BR21" s="28"/>
      <c r="BS21" s="27">
        <v>250</v>
      </c>
      <c r="BT21" s="28">
        <v>250</v>
      </c>
      <c r="BU21" s="28">
        <v>500</v>
      </c>
      <c r="BV21" s="28">
        <v>250</v>
      </c>
      <c r="BW21" s="28">
        <v>750</v>
      </c>
      <c r="BX21" s="28">
        <v>250</v>
      </c>
      <c r="BY21" s="29">
        <v>1000</v>
      </c>
      <c r="BZ21" s="28"/>
      <c r="CA21" s="85">
        <v>83</v>
      </c>
      <c r="CB21" s="38">
        <v>250</v>
      </c>
      <c r="CC21" s="86">
        <v>333</v>
      </c>
    </row>
    <row r="22" spans="1:81" ht="17.25" customHeight="1" outlineLevel="1" x14ac:dyDescent="0.25">
      <c r="A22" s="4" t="s">
        <v>213</v>
      </c>
      <c r="B22" s="42" t="s">
        <v>15</v>
      </c>
      <c r="C22" s="22"/>
      <c r="D22" s="22"/>
      <c r="E22" s="740">
        <v>2171.1779999999999</v>
      </c>
      <c r="F22" s="22"/>
      <c r="G22" s="569">
        <v>2171.1779999999999</v>
      </c>
      <c r="H22" s="405">
        <v>2171.1779999999999</v>
      </c>
      <c r="I22" s="405">
        <v>4342.3559999999998</v>
      </c>
      <c r="J22" s="405">
        <v>2171.1779999999999</v>
      </c>
      <c r="K22" s="405">
        <v>6513.5339999999997</v>
      </c>
      <c r="L22" s="405">
        <v>2171.1779999999999</v>
      </c>
      <c r="M22" s="23">
        <v>8684.7119999999995</v>
      </c>
      <c r="N22" s="22"/>
      <c r="O22" s="569">
        <v>2171</v>
      </c>
      <c r="P22" s="405">
        <v>2171</v>
      </c>
      <c r="Q22" s="405">
        <v>4342</v>
      </c>
      <c r="R22" s="405">
        <v>2171</v>
      </c>
      <c r="S22" s="405">
        <v>6513</v>
      </c>
      <c r="T22" s="405">
        <v>2171</v>
      </c>
      <c r="U22" s="405">
        <v>8684</v>
      </c>
      <c r="V22" s="577"/>
      <c r="W22" s="569">
        <v>2192</v>
      </c>
      <c r="X22" s="405">
        <f t="shared" si="0"/>
        <v>2191</v>
      </c>
      <c r="Y22" s="405">
        <v>4383</v>
      </c>
      <c r="Z22" s="405">
        <f t="shared" si="0"/>
        <v>2178</v>
      </c>
      <c r="AA22" s="424">
        <v>6561</v>
      </c>
      <c r="AB22" s="405">
        <f t="shared" si="0"/>
        <v>2171.5840000000007</v>
      </c>
      <c r="AC22" s="23">
        <v>8732.5840000000007</v>
      </c>
      <c r="AD22" s="577"/>
      <c r="AE22" s="24">
        <v>2192</v>
      </c>
      <c r="AF22" s="405">
        <f t="shared" si="1"/>
        <v>2191</v>
      </c>
      <c r="AG22" s="405">
        <v>4383</v>
      </c>
      <c r="AH22" s="405">
        <f t="shared" si="2"/>
        <v>2192</v>
      </c>
      <c r="AI22" s="405">
        <v>6575</v>
      </c>
      <c r="AJ22" s="405">
        <f t="shared" si="3"/>
        <v>2192</v>
      </c>
      <c r="AK22" s="23">
        <v>8767</v>
      </c>
      <c r="AL22" s="22"/>
      <c r="AM22" s="24">
        <v>2213</v>
      </c>
      <c r="AN22" s="405">
        <v>2213</v>
      </c>
      <c r="AO22" s="405">
        <v>4426</v>
      </c>
      <c r="AP22" s="405">
        <v>2206</v>
      </c>
      <c r="AQ22" s="405">
        <v>6632</v>
      </c>
      <c r="AR22" s="405">
        <f t="shared" si="4"/>
        <v>2192</v>
      </c>
      <c r="AS22" s="23">
        <v>8824</v>
      </c>
      <c r="AT22" s="22"/>
      <c r="AU22" s="24">
        <v>2186</v>
      </c>
      <c r="AV22" s="405">
        <v>2187</v>
      </c>
      <c r="AW22" s="405">
        <v>4373</v>
      </c>
      <c r="AX22" s="405">
        <v>2186</v>
      </c>
      <c r="AY22" s="405">
        <v>6559</v>
      </c>
      <c r="AZ22" s="405">
        <v>2213</v>
      </c>
      <c r="BA22" s="23">
        <v>8772</v>
      </c>
      <c r="BB22" s="22"/>
      <c r="BC22" s="24">
        <v>2186</v>
      </c>
      <c r="BD22" s="22">
        <v>2187</v>
      </c>
      <c r="BE22" s="22">
        <v>4373</v>
      </c>
      <c r="BF22" s="22">
        <v>2186</v>
      </c>
      <c r="BG22" s="22">
        <v>6559</v>
      </c>
      <c r="BH22" s="22">
        <v>2186</v>
      </c>
      <c r="BI22" s="23">
        <v>8745</v>
      </c>
      <c r="BJ22" s="22"/>
      <c r="BK22" s="24">
        <v>2186</v>
      </c>
      <c r="BL22" s="22">
        <v>2186</v>
      </c>
      <c r="BM22" s="22">
        <v>4372</v>
      </c>
      <c r="BN22" s="22">
        <v>2187</v>
      </c>
      <c r="BO22" s="22">
        <v>6559</v>
      </c>
      <c r="BP22" s="22">
        <v>2186</v>
      </c>
      <c r="BQ22" s="23">
        <v>8745</v>
      </c>
      <c r="BR22" s="22"/>
      <c r="BS22" s="24">
        <v>2322</v>
      </c>
      <c r="BT22" s="22">
        <v>2165</v>
      </c>
      <c r="BU22" s="22">
        <v>4487</v>
      </c>
      <c r="BV22" s="22">
        <v>2186</v>
      </c>
      <c r="BW22" s="22">
        <v>6673</v>
      </c>
      <c r="BX22" s="22">
        <v>2186</v>
      </c>
      <c r="BY22" s="23">
        <v>8859</v>
      </c>
      <c r="BZ22" s="22"/>
      <c r="CA22" s="85">
        <v>0</v>
      </c>
      <c r="CB22" s="38">
        <v>2730</v>
      </c>
      <c r="CC22" s="86">
        <v>2730</v>
      </c>
    </row>
    <row r="23" spans="1:81" s="163" customFormat="1" ht="17.25" customHeight="1" outlineLevel="1" x14ac:dyDescent="0.4">
      <c r="A23" s="4" t="s">
        <v>234</v>
      </c>
      <c r="B23" s="42" t="s">
        <v>16</v>
      </c>
      <c r="C23" s="161"/>
      <c r="D23" s="161"/>
      <c r="E23" s="741">
        <v>0</v>
      </c>
      <c r="F23" s="161"/>
      <c r="G23" s="571">
        <v>0</v>
      </c>
      <c r="H23" s="410">
        <v>0</v>
      </c>
      <c r="I23" s="410">
        <v>0</v>
      </c>
      <c r="J23" s="410">
        <v>0</v>
      </c>
      <c r="K23" s="410">
        <v>0</v>
      </c>
      <c r="L23" s="410">
        <v>0</v>
      </c>
      <c r="M23" s="33">
        <v>0</v>
      </c>
      <c r="N23" s="161"/>
      <c r="O23" s="571">
        <v>0</v>
      </c>
      <c r="P23" s="410">
        <v>0</v>
      </c>
      <c r="Q23" s="410">
        <v>0</v>
      </c>
      <c r="R23" s="410">
        <v>0</v>
      </c>
      <c r="S23" s="410">
        <v>0</v>
      </c>
      <c r="T23" s="410">
        <v>0</v>
      </c>
      <c r="U23" s="410">
        <v>0</v>
      </c>
      <c r="V23" s="581"/>
      <c r="W23" s="571">
        <v>0</v>
      </c>
      <c r="X23" s="410">
        <v>0</v>
      </c>
      <c r="Y23" s="410">
        <v>0</v>
      </c>
      <c r="Z23" s="410">
        <v>0</v>
      </c>
      <c r="AA23" s="428">
        <v>0</v>
      </c>
      <c r="AB23" s="410">
        <v>0</v>
      </c>
      <c r="AC23" s="33">
        <v>0</v>
      </c>
      <c r="AD23" s="581"/>
      <c r="AE23" s="160">
        <v>0</v>
      </c>
      <c r="AF23" s="409">
        <f t="shared" si="1"/>
        <v>0</v>
      </c>
      <c r="AG23" s="409">
        <v>0</v>
      </c>
      <c r="AH23" s="409">
        <f t="shared" si="2"/>
        <v>0</v>
      </c>
      <c r="AI23" s="409">
        <v>0</v>
      </c>
      <c r="AJ23" s="409">
        <f t="shared" si="3"/>
        <v>0</v>
      </c>
      <c r="AK23" s="33">
        <v>0</v>
      </c>
      <c r="AL23" s="161"/>
      <c r="AM23" s="160">
        <v>0</v>
      </c>
      <c r="AN23" s="409">
        <v>0</v>
      </c>
      <c r="AO23" s="409">
        <v>0</v>
      </c>
      <c r="AP23" s="409">
        <v>0</v>
      </c>
      <c r="AQ23" s="409">
        <v>0</v>
      </c>
      <c r="AR23" s="409">
        <f t="shared" si="4"/>
        <v>0</v>
      </c>
      <c r="AS23" s="162">
        <v>0</v>
      </c>
      <c r="AT23" s="161"/>
      <c r="AU23" s="160">
        <v>0</v>
      </c>
      <c r="AV23" s="409">
        <v>0</v>
      </c>
      <c r="AW23" s="409">
        <v>0</v>
      </c>
      <c r="AX23" s="409">
        <v>0</v>
      </c>
      <c r="AY23" s="409">
        <v>0</v>
      </c>
      <c r="AZ23" s="409">
        <v>0</v>
      </c>
      <c r="BA23" s="162">
        <v>0</v>
      </c>
      <c r="BB23" s="161"/>
      <c r="BC23" s="160">
        <v>0</v>
      </c>
      <c r="BD23" s="161">
        <v>0</v>
      </c>
      <c r="BE23" s="161">
        <v>0</v>
      </c>
      <c r="BF23" s="161">
        <v>0</v>
      </c>
      <c r="BG23" s="161">
        <v>0</v>
      </c>
      <c r="BH23" s="161">
        <v>0</v>
      </c>
      <c r="BI23" s="162">
        <v>0</v>
      </c>
      <c r="BJ23" s="161"/>
      <c r="BK23" s="160">
        <v>0</v>
      </c>
      <c r="BL23" s="161">
        <v>0</v>
      </c>
      <c r="BM23" s="161">
        <v>0</v>
      </c>
      <c r="BN23" s="161">
        <v>0</v>
      </c>
      <c r="BO23" s="161">
        <v>0</v>
      </c>
      <c r="BP23" s="161">
        <v>0</v>
      </c>
      <c r="BQ23" s="162">
        <v>0</v>
      </c>
      <c r="BR23" s="161"/>
      <c r="BS23" s="160">
        <v>0</v>
      </c>
      <c r="BT23" s="161">
        <v>0</v>
      </c>
      <c r="BU23" s="161">
        <v>0</v>
      </c>
      <c r="BV23" s="161">
        <v>0</v>
      </c>
      <c r="BW23" s="161">
        <v>0</v>
      </c>
      <c r="BX23" s="161">
        <v>0</v>
      </c>
      <c r="BY23" s="162">
        <v>0</v>
      </c>
      <c r="BZ23" s="161"/>
      <c r="CA23" s="198">
        <v>0</v>
      </c>
      <c r="CB23" s="192">
        <v>0</v>
      </c>
      <c r="CC23" s="193">
        <v>0</v>
      </c>
    </row>
    <row r="24" spans="1:81" s="14" customFormat="1" x14ac:dyDescent="0.25">
      <c r="A24" s="4" t="s">
        <v>214</v>
      </c>
      <c r="B24" s="88" t="s">
        <v>17</v>
      </c>
      <c r="C24" s="20"/>
      <c r="D24" s="20"/>
      <c r="E24" s="706">
        <f>E19-SUM(E20:E23)</f>
        <v>7709.5320000000065</v>
      </c>
      <c r="F24" s="20"/>
      <c r="G24" s="567">
        <f>G19-SUM(G20:G23)</f>
        <v>8573.9690000000119</v>
      </c>
      <c r="H24" s="608">
        <f t="shared" ref="H24:I24" si="9">H19-SUM(H20:H23)</f>
        <v>9752.0319999999847</v>
      </c>
      <c r="I24" s="608">
        <f t="shared" si="9"/>
        <v>18326.001000000004</v>
      </c>
      <c r="J24" s="608">
        <f t="shared" ref="J24:M24" si="10">J19-SUM(J20:J23)</f>
        <v>16268.833999999995</v>
      </c>
      <c r="K24" s="608">
        <f t="shared" si="10"/>
        <v>34594.834999999992</v>
      </c>
      <c r="L24" s="608">
        <f t="shared" si="10"/>
        <v>16844.196999999993</v>
      </c>
      <c r="M24" s="622">
        <f t="shared" si="10"/>
        <v>51439.031999999948</v>
      </c>
      <c r="N24" s="20"/>
      <c r="O24" s="567">
        <f>O19-SUM(O20:O23)</f>
        <v>8167</v>
      </c>
      <c r="P24" s="608">
        <f t="shared" ref="P24:Q24" si="11">P19-SUM(P20:P23)</f>
        <v>10699</v>
      </c>
      <c r="Q24" s="608">
        <f t="shared" si="11"/>
        <v>18866</v>
      </c>
      <c r="R24" s="608">
        <f t="shared" ref="R24:S24" si="12">R19-SUM(R20:R23)</f>
        <v>14937</v>
      </c>
      <c r="S24" s="608">
        <f t="shared" si="12"/>
        <v>33803</v>
      </c>
      <c r="T24" s="608">
        <f t="shared" ref="T24:U24" si="13">T19-SUM(T20:T23)</f>
        <v>5043</v>
      </c>
      <c r="U24" s="608">
        <f t="shared" si="13"/>
        <v>38846</v>
      </c>
      <c r="V24" s="578"/>
      <c r="W24" s="567">
        <v>7670</v>
      </c>
      <c r="X24" s="406">
        <f t="shared" si="0"/>
        <v>10582</v>
      </c>
      <c r="Y24" s="406">
        <v>18252</v>
      </c>
      <c r="Z24" s="406">
        <f t="shared" si="0"/>
        <v>13400</v>
      </c>
      <c r="AA24" s="423">
        <v>31652</v>
      </c>
      <c r="AB24" s="406">
        <f t="shared" si="0"/>
        <v>15047.286</v>
      </c>
      <c r="AC24" s="21">
        <v>46699.286</v>
      </c>
      <c r="AD24" s="578"/>
      <c r="AE24" s="25">
        <v>5905</v>
      </c>
      <c r="AF24" s="406">
        <f t="shared" si="1"/>
        <v>12305</v>
      </c>
      <c r="AG24" s="406">
        <v>18210</v>
      </c>
      <c r="AH24" s="406">
        <f t="shared" si="2"/>
        <v>12091</v>
      </c>
      <c r="AI24" s="406">
        <v>30301</v>
      </c>
      <c r="AJ24" s="406">
        <f t="shared" si="3"/>
        <v>13230</v>
      </c>
      <c r="AK24" s="21">
        <f>AK19-SUM(AK20:AK23)</f>
        <v>43531</v>
      </c>
      <c r="AL24" s="20"/>
      <c r="AM24" s="25">
        <v>5836</v>
      </c>
      <c r="AN24" s="406">
        <v>11969</v>
      </c>
      <c r="AO24" s="406">
        <v>17805</v>
      </c>
      <c r="AP24" s="406">
        <v>10088</v>
      </c>
      <c r="AQ24" s="406">
        <v>27893</v>
      </c>
      <c r="AR24" s="406">
        <f t="shared" si="4"/>
        <v>11481</v>
      </c>
      <c r="AS24" s="21">
        <v>39374</v>
      </c>
      <c r="AT24" s="20"/>
      <c r="AU24" s="25">
        <v>4585</v>
      </c>
      <c r="AV24" s="406">
        <v>4701</v>
      </c>
      <c r="AW24" s="406">
        <v>9286</v>
      </c>
      <c r="AX24" s="406">
        <v>8683</v>
      </c>
      <c r="AY24" s="406">
        <v>17969</v>
      </c>
      <c r="AZ24" s="406">
        <v>12117</v>
      </c>
      <c r="BA24" s="21">
        <v>30086</v>
      </c>
      <c r="BB24" s="20"/>
      <c r="BC24" s="25">
        <v>2338</v>
      </c>
      <c r="BD24" s="20">
        <v>5073</v>
      </c>
      <c r="BE24" s="20">
        <v>7411</v>
      </c>
      <c r="BF24" s="20">
        <v>5977</v>
      </c>
      <c r="BG24" s="20">
        <v>13388</v>
      </c>
      <c r="BH24" s="20">
        <v>9020</v>
      </c>
      <c r="BI24" s="21">
        <v>22408</v>
      </c>
      <c r="BJ24" s="20"/>
      <c r="BK24" s="25">
        <v>-617</v>
      </c>
      <c r="BL24" s="20">
        <v>2020</v>
      </c>
      <c r="BM24" s="20">
        <v>1403</v>
      </c>
      <c r="BN24" s="20">
        <v>1740</v>
      </c>
      <c r="BO24" s="20">
        <v>3143</v>
      </c>
      <c r="BP24" s="20">
        <v>773</v>
      </c>
      <c r="BQ24" s="21">
        <v>3916</v>
      </c>
      <c r="BR24" s="20"/>
      <c r="BS24" s="25">
        <v>-9485</v>
      </c>
      <c r="BT24" s="20">
        <v>-4804</v>
      </c>
      <c r="BU24" s="20">
        <v>-14289</v>
      </c>
      <c r="BV24" s="20">
        <v>-253</v>
      </c>
      <c r="BW24" s="20">
        <v>-14542</v>
      </c>
      <c r="BX24" s="20">
        <v>7420</v>
      </c>
      <c r="BY24" s="21">
        <v>-7122</v>
      </c>
      <c r="BZ24" s="20"/>
      <c r="CA24" s="84">
        <v>-1794</v>
      </c>
      <c r="CB24" s="39">
        <v>-8359</v>
      </c>
      <c r="CC24" s="40">
        <v>-10153</v>
      </c>
    </row>
    <row r="25" spans="1:81" ht="15" customHeight="1" outlineLevel="1" x14ac:dyDescent="0.25">
      <c r="A25" s="4" t="s">
        <v>217</v>
      </c>
      <c r="B25" s="42" t="s">
        <v>18</v>
      </c>
      <c r="C25" s="28"/>
      <c r="D25" s="28"/>
      <c r="E25" s="740">
        <v>105.39200000000001</v>
      </c>
      <c r="F25" s="28"/>
      <c r="G25" s="569">
        <v>178.602</v>
      </c>
      <c r="H25" s="408">
        <v>-168.78100000000001</v>
      </c>
      <c r="I25" s="408">
        <v>9.820999999999998</v>
      </c>
      <c r="J25" s="408">
        <v>-182.57800000000003</v>
      </c>
      <c r="K25" s="408">
        <v>-172.75699999999998</v>
      </c>
      <c r="L25" s="408">
        <v>144.054</v>
      </c>
      <c r="M25" s="29">
        <v>-28.702999999999975</v>
      </c>
      <c r="N25" s="28"/>
      <c r="O25" s="569">
        <v>41</v>
      </c>
      <c r="P25" s="408">
        <v>181</v>
      </c>
      <c r="Q25" s="408">
        <v>220</v>
      </c>
      <c r="R25" s="408">
        <v>86</v>
      </c>
      <c r="S25" s="408">
        <v>306</v>
      </c>
      <c r="T25" s="408">
        <v>28</v>
      </c>
      <c r="U25" s="408">
        <v>334</v>
      </c>
      <c r="V25" s="580"/>
      <c r="W25" s="569">
        <v>-5</v>
      </c>
      <c r="X25" s="408">
        <f t="shared" si="0"/>
        <v>-48</v>
      </c>
      <c r="Y25" s="408">
        <v>-53</v>
      </c>
      <c r="Z25" s="408">
        <f t="shared" si="0"/>
        <v>172</v>
      </c>
      <c r="AA25" s="424">
        <v>119</v>
      </c>
      <c r="AB25" s="408">
        <f t="shared" si="0"/>
        <v>-339.77300000000002</v>
      </c>
      <c r="AC25" s="29">
        <v>-220.773</v>
      </c>
      <c r="AD25" s="580"/>
      <c r="AE25" s="27">
        <v>-505</v>
      </c>
      <c r="AF25" s="408">
        <f t="shared" si="1"/>
        <v>-21</v>
      </c>
      <c r="AG25" s="408">
        <v>-526</v>
      </c>
      <c r="AH25" s="408">
        <f t="shared" si="2"/>
        <v>775</v>
      </c>
      <c r="AI25" s="408">
        <v>249</v>
      </c>
      <c r="AJ25" s="408">
        <f t="shared" si="3"/>
        <v>-237</v>
      </c>
      <c r="AK25" s="29">
        <v>12</v>
      </c>
      <c r="AL25" s="28"/>
      <c r="AM25" s="27">
        <v>85</v>
      </c>
      <c r="AN25" s="408">
        <v>-192</v>
      </c>
      <c r="AO25" s="408">
        <v>-107</v>
      </c>
      <c r="AP25" s="408">
        <v>74</v>
      </c>
      <c r="AQ25" s="408">
        <v>-33</v>
      </c>
      <c r="AR25" s="408">
        <f t="shared" si="4"/>
        <v>466</v>
      </c>
      <c r="AS25" s="29">
        <v>433</v>
      </c>
      <c r="AT25" s="28"/>
      <c r="AU25" s="27">
        <v>470</v>
      </c>
      <c r="AV25" s="408">
        <v>899</v>
      </c>
      <c r="AW25" s="408">
        <v>1369</v>
      </c>
      <c r="AX25" s="408">
        <v>327</v>
      </c>
      <c r="AY25" s="408">
        <v>1696</v>
      </c>
      <c r="AZ25" s="408">
        <v>122</v>
      </c>
      <c r="BA25" s="29">
        <v>1818</v>
      </c>
      <c r="BB25" s="28"/>
      <c r="BC25" s="27">
        <v>92</v>
      </c>
      <c r="BD25" s="28">
        <v>151</v>
      </c>
      <c r="BE25" s="28">
        <v>243</v>
      </c>
      <c r="BF25" s="28">
        <v>-28</v>
      </c>
      <c r="BG25" s="28">
        <v>215</v>
      </c>
      <c r="BH25" s="28">
        <v>71</v>
      </c>
      <c r="BI25" s="29">
        <v>286</v>
      </c>
      <c r="BJ25" s="28"/>
      <c r="BK25" s="27">
        <v>-170</v>
      </c>
      <c r="BL25" s="28">
        <v>324</v>
      </c>
      <c r="BM25" s="28">
        <v>154</v>
      </c>
      <c r="BN25" s="28">
        <v>270</v>
      </c>
      <c r="BO25" s="28">
        <v>424</v>
      </c>
      <c r="BP25" s="28">
        <v>251</v>
      </c>
      <c r="BQ25" s="29">
        <v>675</v>
      </c>
      <c r="BR25" s="28"/>
      <c r="BS25" s="27">
        <v>90</v>
      </c>
      <c r="BT25" s="28">
        <v>188</v>
      </c>
      <c r="BU25" s="28">
        <v>278</v>
      </c>
      <c r="BV25" s="28">
        <v>-120</v>
      </c>
      <c r="BW25" s="28">
        <v>158</v>
      </c>
      <c r="BX25" s="28">
        <v>46</v>
      </c>
      <c r="BY25" s="29">
        <v>204</v>
      </c>
      <c r="BZ25" s="28"/>
      <c r="CA25" s="85">
        <v>2124</v>
      </c>
      <c r="CB25" s="38">
        <v>-1533</v>
      </c>
      <c r="CC25" s="86">
        <v>591</v>
      </c>
    </row>
    <row r="26" spans="1:81" ht="15" customHeight="1" outlineLevel="1" x14ac:dyDescent="0.25">
      <c r="A26" s="4" t="s">
        <v>215</v>
      </c>
      <c r="B26" s="42" t="s">
        <v>19</v>
      </c>
      <c r="C26" s="28"/>
      <c r="D26" s="28"/>
      <c r="E26" s="740">
        <v>-0.9890000000000001</v>
      </c>
      <c r="F26" s="28"/>
      <c r="G26" s="569">
        <v>1.0539999999999998</v>
      </c>
      <c r="H26" s="408">
        <v>-2.996</v>
      </c>
      <c r="I26" s="408">
        <v>-1.9419999999999999</v>
      </c>
      <c r="J26" s="408">
        <v>-0.62</v>
      </c>
      <c r="K26" s="408">
        <v>-2.5619999999999998</v>
      </c>
      <c r="L26" s="408">
        <v>-5.4829999999999997</v>
      </c>
      <c r="M26" s="29">
        <v>-8.0449999999999999</v>
      </c>
      <c r="N26" s="28"/>
      <c r="O26" s="569">
        <v>-3</v>
      </c>
      <c r="P26" s="408">
        <v>1</v>
      </c>
      <c r="Q26" s="408">
        <v>-1</v>
      </c>
      <c r="R26" s="408">
        <v>-2</v>
      </c>
      <c r="S26" s="408">
        <v>-3</v>
      </c>
      <c r="T26" s="408">
        <v>-11</v>
      </c>
      <c r="U26" s="408">
        <v>-14</v>
      </c>
      <c r="V26" s="580"/>
      <c r="W26" s="569">
        <v>0</v>
      </c>
      <c r="X26" s="408">
        <f t="shared" si="0"/>
        <v>-3</v>
      </c>
      <c r="Y26" s="408">
        <v>-3</v>
      </c>
      <c r="Z26" s="408">
        <f t="shared" si="0"/>
        <v>-2</v>
      </c>
      <c r="AA26" s="424">
        <v>-5</v>
      </c>
      <c r="AB26" s="408">
        <f t="shared" si="0"/>
        <v>-3.4649999999999999</v>
      </c>
      <c r="AC26" s="29">
        <v>-8.4649999999999999</v>
      </c>
      <c r="AD26" s="580"/>
      <c r="AE26" s="27">
        <v>26</v>
      </c>
      <c r="AF26" s="408">
        <f t="shared" si="1"/>
        <v>-16</v>
      </c>
      <c r="AG26" s="408">
        <v>10</v>
      </c>
      <c r="AH26" s="408">
        <f t="shared" si="2"/>
        <v>2</v>
      </c>
      <c r="AI26" s="408">
        <v>12</v>
      </c>
      <c r="AJ26" s="408">
        <f t="shared" si="3"/>
        <v>-12</v>
      </c>
      <c r="AK26" s="29">
        <v>0</v>
      </c>
      <c r="AL26" s="28"/>
      <c r="AM26" s="27">
        <v>0</v>
      </c>
      <c r="AN26" s="408">
        <v>7</v>
      </c>
      <c r="AO26" s="408">
        <v>7</v>
      </c>
      <c r="AP26" s="408">
        <v>1</v>
      </c>
      <c r="AQ26" s="408">
        <v>8</v>
      </c>
      <c r="AR26" s="408">
        <f t="shared" si="4"/>
        <v>8</v>
      </c>
      <c r="AS26" s="29">
        <v>16</v>
      </c>
      <c r="AT26" s="28"/>
      <c r="AU26" s="27">
        <v>26</v>
      </c>
      <c r="AV26" s="408">
        <v>14</v>
      </c>
      <c r="AW26" s="408">
        <v>40</v>
      </c>
      <c r="AX26" s="408">
        <v>3</v>
      </c>
      <c r="AY26" s="408">
        <v>43</v>
      </c>
      <c r="AZ26" s="408">
        <v>-24</v>
      </c>
      <c r="BA26" s="29">
        <v>19</v>
      </c>
      <c r="BB26" s="28"/>
      <c r="BC26" s="27">
        <v>-4</v>
      </c>
      <c r="BD26" s="28">
        <v>6</v>
      </c>
      <c r="BE26" s="28">
        <v>2</v>
      </c>
      <c r="BF26" s="28">
        <v>0</v>
      </c>
      <c r="BG26" s="28">
        <v>2</v>
      </c>
      <c r="BH26" s="28">
        <v>-26</v>
      </c>
      <c r="BI26" s="29">
        <v>-24</v>
      </c>
      <c r="BJ26" s="28"/>
      <c r="BK26" s="27">
        <v>8</v>
      </c>
      <c r="BL26" s="28">
        <v>-3</v>
      </c>
      <c r="BM26" s="28">
        <v>5</v>
      </c>
      <c r="BN26" s="28">
        <v>8</v>
      </c>
      <c r="BO26" s="28">
        <v>13</v>
      </c>
      <c r="BP26" s="28">
        <v>1</v>
      </c>
      <c r="BQ26" s="29">
        <v>14</v>
      </c>
      <c r="BR26" s="28"/>
      <c r="BS26" s="27">
        <v>29</v>
      </c>
      <c r="BT26" s="28">
        <v>21</v>
      </c>
      <c r="BU26" s="28">
        <v>50</v>
      </c>
      <c r="BV26" s="28">
        <v>1</v>
      </c>
      <c r="BW26" s="28">
        <v>51</v>
      </c>
      <c r="BX26" s="28">
        <v>-1</v>
      </c>
      <c r="BY26" s="29">
        <v>50</v>
      </c>
      <c r="BZ26" s="28"/>
      <c r="CA26" s="85">
        <v>6</v>
      </c>
      <c r="CB26" s="38">
        <v>34</v>
      </c>
      <c r="CC26" s="86">
        <v>40</v>
      </c>
    </row>
    <row r="27" spans="1:81" ht="15" customHeight="1" outlineLevel="1" x14ac:dyDescent="0.25">
      <c r="A27" s="4" t="s">
        <v>216</v>
      </c>
      <c r="B27" s="42" t="s">
        <v>20</v>
      </c>
      <c r="C27" s="28"/>
      <c r="D27" s="28"/>
      <c r="E27" s="740">
        <v>3001.03</v>
      </c>
      <c r="F27" s="28"/>
      <c r="G27" s="569">
        <v>3344.0189999999998</v>
      </c>
      <c r="H27" s="408">
        <v>3747.415</v>
      </c>
      <c r="I27" s="408">
        <v>7091.4340000000002</v>
      </c>
      <c r="J27" s="408">
        <v>3818.134</v>
      </c>
      <c r="K27" s="408">
        <v>10909.567999999999</v>
      </c>
      <c r="L27" s="408">
        <v>3655.2510000000002</v>
      </c>
      <c r="M27" s="29">
        <v>14564.819</v>
      </c>
      <c r="N27" s="28"/>
      <c r="O27" s="569">
        <v>3526</v>
      </c>
      <c r="P27" s="408">
        <f>3254-1</f>
        <v>3253</v>
      </c>
      <c r="Q27" s="408">
        <v>6780</v>
      </c>
      <c r="R27" s="408">
        <v>3334</v>
      </c>
      <c r="S27" s="408">
        <v>10114</v>
      </c>
      <c r="T27" s="408">
        <v>3252</v>
      </c>
      <c r="U27" s="408">
        <v>13366</v>
      </c>
      <c r="V27" s="580"/>
      <c r="W27" s="569">
        <v>4799</v>
      </c>
      <c r="X27" s="408">
        <f t="shared" si="0"/>
        <v>5423</v>
      </c>
      <c r="Y27" s="408">
        <v>10222</v>
      </c>
      <c r="Z27" s="408">
        <f t="shared" si="0"/>
        <v>5476</v>
      </c>
      <c r="AA27" s="424">
        <v>15698</v>
      </c>
      <c r="AB27" s="408">
        <f t="shared" si="0"/>
        <v>4545.9759999999987</v>
      </c>
      <c r="AC27" s="29">
        <v>20243.975999999999</v>
      </c>
      <c r="AD27" s="580"/>
      <c r="AE27" s="27">
        <v>2920</v>
      </c>
      <c r="AF27" s="408">
        <f t="shared" si="1"/>
        <v>3078</v>
      </c>
      <c r="AG27" s="408">
        <v>5998</v>
      </c>
      <c r="AH27" s="408">
        <f t="shared" si="2"/>
        <v>3503</v>
      </c>
      <c r="AI27" s="408">
        <v>9501</v>
      </c>
      <c r="AJ27" s="408">
        <f t="shared" si="3"/>
        <v>4260</v>
      </c>
      <c r="AK27" s="29">
        <v>13761</v>
      </c>
      <c r="AL27" s="28"/>
      <c r="AM27" s="27">
        <v>2984</v>
      </c>
      <c r="AN27" s="408">
        <v>2799</v>
      </c>
      <c r="AO27" s="408">
        <v>5783</v>
      </c>
      <c r="AP27" s="408">
        <v>2960</v>
      </c>
      <c r="AQ27" s="408">
        <v>8743</v>
      </c>
      <c r="AR27" s="408">
        <f t="shared" si="4"/>
        <v>3125</v>
      </c>
      <c r="AS27" s="29">
        <v>11868</v>
      </c>
      <c r="AT27" s="28"/>
      <c r="AU27" s="27">
        <v>3820</v>
      </c>
      <c r="AV27" s="408">
        <v>3514</v>
      </c>
      <c r="AW27" s="408">
        <v>7334</v>
      </c>
      <c r="AX27" s="408">
        <v>3436</v>
      </c>
      <c r="AY27" s="408">
        <v>10770</v>
      </c>
      <c r="AZ27" s="408">
        <v>3315</v>
      </c>
      <c r="BA27" s="29">
        <v>14085</v>
      </c>
      <c r="BB27" s="28"/>
      <c r="BC27" s="27">
        <v>4565</v>
      </c>
      <c r="BD27" s="28">
        <v>4545</v>
      </c>
      <c r="BE27" s="28">
        <v>9110</v>
      </c>
      <c r="BF27" s="28">
        <v>4390</v>
      </c>
      <c r="BG27" s="28">
        <v>13500</v>
      </c>
      <c r="BH27" s="28">
        <v>4067</v>
      </c>
      <c r="BI27" s="29">
        <v>17567</v>
      </c>
      <c r="BJ27" s="28"/>
      <c r="BK27" s="27">
        <v>4099</v>
      </c>
      <c r="BL27" s="28">
        <v>4339</v>
      </c>
      <c r="BM27" s="28">
        <v>8438</v>
      </c>
      <c r="BN27" s="28">
        <v>4466</v>
      </c>
      <c r="BO27" s="28">
        <v>12904</v>
      </c>
      <c r="BP27" s="28">
        <v>4582</v>
      </c>
      <c r="BQ27" s="29">
        <v>17486</v>
      </c>
      <c r="BR27" s="28"/>
      <c r="BS27" s="27">
        <v>3528</v>
      </c>
      <c r="BT27" s="28">
        <v>3507</v>
      </c>
      <c r="BU27" s="28">
        <v>7035</v>
      </c>
      <c r="BV27" s="28">
        <v>3662</v>
      </c>
      <c r="BW27" s="28">
        <v>10697</v>
      </c>
      <c r="BX27" s="28">
        <v>3824</v>
      </c>
      <c r="BY27" s="29">
        <v>14521</v>
      </c>
      <c r="BZ27" s="28"/>
      <c r="CA27" s="85">
        <v>1206</v>
      </c>
      <c r="CB27" s="38">
        <v>3641</v>
      </c>
      <c r="CC27" s="86">
        <v>4847</v>
      </c>
    </row>
    <row r="28" spans="1:81" ht="17.25" customHeight="1" outlineLevel="1" x14ac:dyDescent="0.4">
      <c r="A28" s="4" t="s">
        <v>218</v>
      </c>
      <c r="B28" s="42" t="s">
        <v>21</v>
      </c>
      <c r="C28" s="32"/>
      <c r="D28" s="32"/>
      <c r="E28" s="741">
        <v>-265.36900000000003</v>
      </c>
      <c r="F28" s="32"/>
      <c r="G28" s="571">
        <v>1143.8710000000001</v>
      </c>
      <c r="H28" s="410">
        <v>1318.5730000000001</v>
      </c>
      <c r="I28" s="410">
        <v>2462.444</v>
      </c>
      <c r="J28" s="410">
        <v>3005.6869999999999</v>
      </c>
      <c r="K28" s="410">
        <v>5468.1310000000003</v>
      </c>
      <c r="L28" s="410">
        <v>3187.4520000000002</v>
      </c>
      <c r="M28" s="33">
        <v>8655.5830000000005</v>
      </c>
      <c r="N28" s="32"/>
      <c r="O28" s="571">
        <v>1203</v>
      </c>
      <c r="P28" s="410">
        <v>1807</v>
      </c>
      <c r="Q28" s="410">
        <v>3010</v>
      </c>
      <c r="R28" s="410">
        <v>1782</v>
      </c>
      <c r="S28" s="410">
        <v>4792</v>
      </c>
      <c r="T28" s="410">
        <v>-266</v>
      </c>
      <c r="U28" s="410">
        <v>4526</v>
      </c>
      <c r="V28" s="582"/>
      <c r="W28" s="571">
        <v>726</v>
      </c>
      <c r="X28" s="410">
        <f t="shared" si="0"/>
        <v>1344</v>
      </c>
      <c r="Y28" s="410">
        <v>2070</v>
      </c>
      <c r="Z28" s="410">
        <f t="shared" si="0"/>
        <v>1920</v>
      </c>
      <c r="AA28" s="428">
        <v>3990</v>
      </c>
      <c r="AB28" s="410">
        <f t="shared" si="0"/>
        <v>1004.3760000000002</v>
      </c>
      <c r="AC28" s="33">
        <v>4994.3760000000002</v>
      </c>
      <c r="AD28" s="582"/>
      <c r="AE28" s="31">
        <v>819</v>
      </c>
      <c r="AF28" s="410">
        <f t="shared" si="1"/>
        <v>2274</v>
      </c>
      <c r="AG28" s="410">
        <v>3093</v>
      </c>
      <c r="AH28" s="410">
        <f t="shared" si="2"/>
        <v>1906</v>
      </c>
      <c r="AI28" s="410">
        <v>4999</v>
      </c>
      <c r="AJ28" s="410">
        <f t="shared" si="3"/>
        <v>2126</v>
      </c>
      <c r="AK28" s="33">
        <v>7125</v>
      </c>
      <c r="AL28" s="32"/>
      <c r="AM28" s="31">
        <v>768</v>
      </c>
      <c r="AN28" s="410">
        <v>2259</v>
      </c>
      <c r="AO28" s="410">
        <v>3027</v>
      </c>
      <c r="AP28" s="410">
        <v>1830</v>
      </c>
      <c r="AQ28" s="410">
        <v>4857</v>
      </c>
      <c r="AR28" s="410">
        <f t="shared" si="4"/>
        <v>2048</v>
      </c>
      <c r="AS28" s="33">
        <v>6905</v>
      </c>
      <c r="AT28" s="32"/>
      <c r="AU28" s="31">
        <v>-1864</v>
      </c>
      <c r="AV28" s="410">
        <v>287</v>
      </c>
      <c r="AW28" s="410">
        <v>-1577</v>
      </c>
      <c r="AX28" s="410">
        <v>1522</v>
      </c>
      <c r="AY28" s="410">
        <v>-55</v>
      </c>
      <c r="AZ28" s="410">
        <v>1863</v>
      </c>
      <c r="BA28" s="33">
        <v>1808</v>
      </c>
      <c r="BB28" s="32"/>
      <c r="BC28" s="31">
        <v>-445</v>
      </c>
      <c r="BD28" s="32">
        <v>756</v>
      </c>
      <c r="BE28" s="32">
        <v>311</v>
      </c>
      <c r="BF28" s="32">
        <v>431</v>
      </c>
      <c r="BG28" s="32">
        <v>742</v>
      </c>
      <c r="BH28" s="32">
        <v>1778</v>
      </c>
      <c r="BI28" s="33">
        <v>2520</v>
      </c>
      <c r="BJ28" s="32"/>
      <c r="BK28" s="31">
        <v>-1779</v>
      </c>
      <c r="BL28" s="32">
        <v>458</v>
      </c>
      <c r="BM28" s="32">
        <v>-1321</v>
      </c>
      <c r="BN28" s="32">
        <v>735</v>
      </c>
      <c r="BO28" s="32">
        <v>-586</v>
      </c>
      <c r="BP28" s="32">
        <v>-1594</v>
      </c>
      <c r="BQ28" s="33">
        <v>-2180</v>
      </c>
      <c r="BR28" s="32"/>
      <c r="BS28" s="31">
        <v>-5384</v>
      </c>
      <c r="BT28" s="32">
        <v>-3695</v>
      </c>
      <c r="BU28" s="32">
        <v>-9079</v>
      </c>
      <c r="BV28" s="32">
        <v>-1326</v>
      </c>
      <c r="BW28" s="32">
        <v>-10405</v>
      </c>
      <c r="BX28" s="32">
        <v>-2087</v>
      </c>
      <c r="BY28" s="33">
        <v>-12492</v>
      </c>
      <c r="BZ28" s="32"/>
      <c r="CA28" s="272">
        <v>-1963</v>
      </c>
      <c r="CB28" s="271">
        <v>-3227</v>
      </c>
      <c r="CC28" s="273">
        <v>-5190</v>
      </c>
    </row>
    <row r="29" spans="1:81" s="14" customFormat="1" x14ac:dyDescent="0.25">
      <c r="A29" s="4" t="s">
        <v>219</v>
      </c>
      <c r="B29" s="88" t="s">
        <v>24</v>
      </c>
      <c r="C29" s="20"/>
      <c r="D29" s="20"/>
      <c r="E29" s="706">
        <f>E24-SUM(E25:E28)</f>
        <v>4869.4680000000062</v>
      </c>
      <c r="F29" s="20"/>
      <c r="G29" s="567">
        <f>G24-SUM(G25:G28)</f>
        <v>3906.4230000000116</v>
      </c>
      <c r="H29" s="608">
        <f t="shared" ref="H29:M29" si="14">H24-SUM(H25:H28)</f>
        <v>4857.8209999999845</v>
      </c>
      <c r="I29" s="608">
        <f t="shared" si="14"/>
        <v>8764.2440000000042</v>
      </c>
      <c r="J29" s="608">
        <f t="shared" si="14"/>
        <v>9628.2109999999957</v>
      </c>
      <c r="K29" s="608">
        <f t="shared" si="14"/>
        <v>18392.454999999991</v>
      </c>
      <c r="L29" s="608">
        <f t="shared" si="14"/>
        <v>9862.9229999999916</v>
      </c>
      <c r="M29" s="622">
        <f t="shared" si="14"/>
        <v>28255.377999999946</v>
      </c>
      <c r="N29" s="20"/>
      <c r="O29" s="567">
        <f>O24-SUM(O25:O28)</f>
        <v>3400</v>
      </c>
      <c r="P29" s="608">
        <f t="shared" ref="P29:Q29" si="15">P24-SUM(P25:P28)</f>
        <v>5457</v>
      </c>
      <c r="Q29" s="608">
        <f t="shared" si="15"/>
        <v>8857</v>
      </c>
      <c r="R29" s="608">
        <f t="shared" ref="R29:S29" si="16">R24-SUM(R25:R28)</f>
        <v>9737</v>
      </c>
      <c r="S29" s="608">
        <f t="shared" si="16"/>
        <v>18594</v>
      </c>
      <c r="T29" s="608">
        <f t="shared" ref="T29:U29" si="17">T24-SUM(T25:T28)</f>
        <v>2040</v>
      </c>
      <c r="U29" s="608">
        <f t="shared" si="17"/>
        <v>20634</v>
      </c>
      <c r="V29" s="578"/>
      <c r="W29" s="567">
        <v>2150</v>
      </c>
      <c r="X29" s="406">
        <f t="shared" si="0"/>
        <v>3866</v>
      </c>
      <c r="Y29" s="406">
        <v>6016</v>
      </c>
      <c r="Z29" s="406">
        <f t="shared" si="0"/>
        <v>5834</v>
      </c>
      <c r="AA29" s="423">
        <v>11850</v>
      </c>
      <c r="AB29" s="406">
        <f t="shared" si="0"/>
        <v>9840.1719999999987</v>
      </c>
      <c r="AC29" s="21">
        <v>21690.171999999999</v>
      </c>
      <c r="AD29" s="578"/>
      <c r="AE29" s="25">
        <v>2645</v>
      </c>
      <c r="AF29" s="406">
        <f t="shared" si="1"/>
        <v>6990</v>
      </c>
      <c r="AG29" s="406">
        <v>9635</v>
      </c>
      <c r="AH29" s="406">
        <f t="shared" si="2"/>
        <v>5905</v>
      </c>
      <c r="AI29" s="406">
        <v>15540</v>
      </c>
      <c r="AJ29" s="406">
        <f t="shared" si="3"/>
        <v>7093</v>
      </c>
      <c r="AK29" s="21">
        <v>22633</v>
      </c>
      <c r="AL29" s="20"/>
      <c r="AM29" s="25">
        <v>1999</v>
      </c>
      <c r="AN29" s="406">
        <v>7096</v>
      </c>
      <c r="AO29" s="406">
        <v>9095</v>
      </c>
      <c r="AP29" s="406">
        <v>5223</v>
      </c>
      <c r="AQ29" s="406">
        <v>14318</v>
      </c>
      <c r="AR29" s="406">
        <f t="shared" si="4"/>
        <v>5834</v>
      </c>
      <c r="AS29" s="21">
        <v>20152</v>
      </c>
      <c r="AT29" s="20"/>
      <c r="AU29" s="25">
        <v>2133</v>
      </c>
      <c r="AV29" s="406">
        <v>-13</v>
      </c>
      <c r="AW29" s="406">
        <v>2120</v>
      </c>
      <c r="AX29" s="406">
        <v>3395</v>
      </c>
      <c r="AY29" s="406">
        <v>5515</v>
      </c>
      <c r="AZ29" s="406">
        <v>6841</v>
      </c>
      <c r="BA29" s="21">
        <v>12356</v>
      </c>
      <c r="BB29" s="20"/>
      <c r="BC29" s="25">
        <v>-1870</v>
      </c>
      <c r="BD29" s="20">
        <v>-385</v>
      </c>
      <c r="BE29" s="20">
        <v>-2255</v>
      </c>
      <c r="BF29" s="20">
        <v>1184</v>
      </c>
      <c r="BG29" s="20">
        <v>-1071</v>
      </c>
      <c r="BH29" s="20">
        <v>3130</v>
      </c>
      <c r="BI29" s="21">
        <v>2059</v>
      </c>
      <c r="BJ29" s="20"/>
      <c r="BK29" s="25">
        <v>-2775</v>
      </c>
      <c r="BL29" s="20">
        <v>-3098</v>
      </c>
      <c r="BM29" s="20">
        <v>-5873</v>
      </c>
      <c r="BN29" s="20">
        <v>-3739</v>
      </c>
      <c r="BO29" s="20">
        <v>-9612</v>
      </c>
      <c r="BP29" s="20">
        <v>-2467</v>
      </c>
      <c r="BQ29" s="21">
        <v>-12079</v>
      </c>
      <c r="BR29" s="20"/>
      <c r="BS29" s="25">
        <v>-7748</v>
      </c>
      <c r="BT29" s="20">
        <v>-4825</v>
      </c>
      <c r="BU29" s="20">
        <v>-12573</v>
      </c>
      <c r="BV29" s="20">
        <v>-2470</v>
      </c>
      <c r="BW29" s="20">
        <v>-15043</v>
      </c>
      <c r="BX29" s="20">
        <v>5638</v>
      </c>
      <c r="BY29" s="21">
        <v>-9405</v>
      </c>
      <c r="BZ29" s="20"/>
      <c r="CA29" s="84">
        <v>-3167</v>
      </c>
      <c r="CB29" s="39">
        <v>-7274</v>
      </c>
      <c r="CC29" s="40">
        <v>-10441</v>
      </c>
    </row>
    <row r="30" spans="1:81" ht="15" customHeight="1" outlineLevel="1" x14ac:dyDescent="0.25">
      <c r="B30" s="114" t="s">
        <v>54</v>
      </c>
      <c r="C30" s="28"/>
      <c r="D30" s="28"/>
      <c r="E30" s="740"/>
      <c r="F30" s="28"/>
      <c r="G30" s="569"/>
      <c r="H30" s="408"/>
      <c r="I30" s="408"/>
      <c r="J30" s="408"/>
      <c r="K30" s="408"/>
      <c r="L30" s="408"/>
      <c r="M30" s="29"/>
      <c r="N30" s="28"/>
      <c r="O30" s="569"/>
      <c r="P30" s="408"/>
      <c r="Q30" s="408"/>
      <c r="R30" s="408"/>
      <c r="S30" s="408"/>
      <c r="T30" s="408"/>
      <c r="U30" s="408"/>
      <c r="V30" s="580"/>
      <c r="W30" s="569"/>
      <c r="X30" s="408"/>
      <c r="Y30" s="408"/>
      <c r="Z30" s="408"/>
      <c r="AA30" s="423"/>
      <c r="AB30" s="408"/>
      <c r="AC30" s="29"/>
      <c r="AD30" s="580"/>
      <c r="AE30" s="27"/>
      <c r="AF30" s="408">
        <f t="shared" si="1"/>
        <v>0</v>
      </c>
      <c r="AG30" s="408">
        <v>0</v>
      </c>
      <c r="AH30" s="408">
        <f t="shared" si="2"/>
        <v>0</v>
      </c>
      <c r="AI30" s="408"/>
      <c r="AJ30" s="408">
        <f t="shared" si="3"/>
        <v>0</v>
      </c>
      <c r="AK30" s="29"/>
      <c r="AL30" s="28"/>
      <c r="AM30" s="27"/>
      <c r="AN30" s="408"/>
      <c r="AO30" s="408"/>
      <c r="AP30" s="408"/>
      <c r="AQ30" s="408"/>
      <c r="AR30" s="408"/>
      <c r="AS30" s="29"/>
      <c r="AT30" s="28"/>
      <c r="AU30" s="27"/>
      <c r="AV30" s="408"/>
      <c r="AW30" s="408"/>
      <c r="AX30" s="408"/>
      <c r="AY30" s="408"/>
      <c r="AZ30" s="408"/>
      <c r="BA30" s="29"/>
      <c r="BB30" s="28"/>
      <c r="BC30" s="27"/>
      <c r="BD30" s="28"/>
      <c r="BE30" s="28"/>
      <c r="BF30" s="28"/>
      <c r="BG30" s="28"/>
      <c r="BH30" s="28"/>
      <c r="BI30" s="29"/>
      <c r="BJ30" s="28"/>
      <c r="BK30" s="27"/>
      <c r="BL30" s="28"/>
      <c r="BM30" s="28"/>
      <c r="BN30" s="28"/>
      <c r="BO30" s="28"/>
      <c r="BP30" s="28"/>
      <c r="BQ30" s="29"/>
      <c r="BR30" s="28"/>
      <c r="BS30" s="27"/>
      <c r="BT30" s="28"/>
      <c r="BU30" s="28"/>
      <c r="BV30" s="28"/>
      <c r="BW30" s="28"/>
      <c r="BX30" s="28"/>
      <c r="BY30" s="29"/>
      <c r="BZ30" s="28"/>
      <c r="CA30" s="84"/>
      <c r="CB30" s="39"/>
      <c r="CC30" s="40"/>
    </row>
    <row r="31" spans="1:81" ht="15" customHeight="1" outlineLevel="1" x14ac:dyDescent="0.25">
      <c r="A31" s="4" t="s">
        <v>21</v>
      </c>
      <c r="B31" s="42" t="s">
        <v>21</v>
      </c>
      <c r="C31" s="28"/>
      <c r="D31" s="28"/>
      <c r="E31" s="740">
        <f>E28</f>
        <v>-265.36900000000003</v>
      </c>
      <c r="F31" s="28"/>
      <c r="G31" s="569">
        <f>G28</f>
        <v>1143.8710000000001</v>
      </c>
      <c r="H31" s="609">
        <f t="shared" ref="H31:M31" si="18">H28</f>
        <v>1318.5730000000001</v>
      </c>
      <c r="I31" s="609">
        <f t="shared" si="18"/>
        <v>2462.444</v>
      </c>
      <c r="J31" s="609">
        <f t="shared" si="18"/>
        <v>3005.6869999999999</v>
      </c>
      <c r="K31" s="609">
        <f t="shared" si="18"/>
        <v>5468.1310000000003</v>
      </c>
      <c r="L31" s="609">
        <f t="shared" si="18"/>
        <v>3187.4520000000002</v>
      </c>
      <c r="M31" s="623">
        <f t="shared" si="18"/>
        <v>8655.5830000000005</v>
      </c>
      <c r="N31" s="28"/>
      <c r="O31" s="569">
        <f>O28</f>
        <v>1203</v>
      </c>
      <c r="P31" s="609">
        <f t="shared" ref="P31:Q31" si="19">P28</f>
        <v>1807</v>
      </c>
      <c r="Q31" s="609">
        <f t="shared" si="19"/>
        <v>3010</v>
      </c>
      <c r="R31" s="609">
        <f t="shared" ref="R31:S31" si="20">R28</f>
        <v>1782</v>
      </c>
      <c r="S31" s="609">
        <f t="shared" si="20"/>
        <v>4792</v>
      </c>
      <c r="T31" s="609">
        <f t="shared" ref="T31:U31" si="21">T28</f>
        <v>-266</v>
      </c>
      <c r="U31" s="609">
        <f t="shared" si="21"/>
        <v>4526</v>
      </c>
      <c r="V31" s="580"/>
      <c r="W31" s="569">
        <v>726</v>
      </c>
      <c r="X31" s="408">
        <f t="shared" si="0"/>
        <v>1344</v>
      </c>
      <c r="Y31" s="408">
        <v>2070</v>
      </c>
      <c r="Z31" s="408">
        <f t="shared" si="0"/>
        <v>1920</v>
      </c>
      <c r="AA31" s="424">
        <v>3990</v>
      </c>
      <c r="AB31" s="408">
        <f t="shared" si="0"/>
        <v>1004.3760000000002</v>
      </c>
      <c r="AC31" s="29">
        <v>4994.3760000000002</v>
      </c>
      <c r="AD31" s="580"/>
      <c r="AE31" s="27">
        <v>819</v>
      </c>
      <c r="AF31" s="408">
        <f t="shared" si="1"/>
        <v>2274</v>
      </c>
      <c r="AG31" s="408">
        <v>3093</v>
      </c>
      <c r="AH31" s="408">
        <f t="shared" si="2"/>
        <v>1906</v>
      </c>
      <c r="AI31" s="408">
        <v>4999</v>
      </c>
      <c r="AJ31" s="408">
        <f t="shared" si="3"/>
        <v>2126</v>
      </c>
      <c r="AK31" s="29">
        <v>7125</v>
      </c>
      <c r="AL31" s="28"/>
      <c r="AM31" s="27">
        <v>768</v>
      </c>
      <c r="AN31" s="408">
        <v>2259</v>
      </c>
      <c r="AO31" s="408">
        <v>3027</v>
      </c>
      <c r="AP31" s="408">
        <v>1830</v>
      </c>
      <c r="AQ31" s="408">
        <v>4857</v>
      </c>
      <c r="AR31" s="408">
        <f t="shared" si="4"/>
        <v>2048</v>
      </c>
      <c r="AS31" s="29">
        <v>6905</v>
      </c>
      <c r="AT31" s="28"/>
      <c r="AU31" s="27">
        <v>-1864</v>
      </c>
      <c r="AV31" s="408">
        <v>287</v>
      </c>
      <c r="AW31" s="408">
        <v>-1577</v>
      </c>
      <c r="AX31" s="408">
        <v>1522</v>
      </c>
      <c r="AY31" s="408">
        <v>-55</v>
      </c>
      <c r="AZ31" s="408">
        <v>1863</v>
      </c>
      <c r="BA31" s="29">
        <v>1808</v>
      </c>
      <c r="BB31" s="28"/>
      <c r="BC31" s="27">
        <v>-445</v>
      </c>
      <c r="BD31" s="28">
        <v>756</v>
      </c>
      <c r="BE31" s="28">
        <v>311</v>
      </c>
      <c r="BF31" s="28">
        <v>431</v>
      </c>
      <c r="BG31" s="28">
        <v>742</v>
      </c>
      <c r="BH31" s="28">
        <v>1778</v>
      </c>
      <c r="BI31" s="29">
        <v>2520</v>
      </c>
      <c r="BJ31" s="28"/>
      <c r="BK31" s="27">
        <v>-1779</v>
      </c>
      <c r="BL31" s="28">
        <v>458</v>
      </c>
      <c r="BM31" s="28">
        <v>-1321</v>
      </c>
      <c r="BN31" s="28">
        <v>735</v>
      </c>
      <c r="BO31" s="28">
        <v>-586</v>
      </c>
      <c r="BP31" s="28">
        <v>-1594</v>
      </c>
      <c r="BQ31" s="29">
        <v>-2180</v>
      </c>
      <c r="BR31" s="28"/>
      <c r="BS31" s="27">
        <v>-5384</v>
      </c>
      <c r="BT31" s="28">
        <v>-3695</v>
      </c>
      <c r="BU31" s="28">
        <v>-9079</v>
      </c>
      <c r="BV31" s="28">
        <v>-1326</v>
      </c>
      <c r="BW31" s="28">
        <v>-10405</v>
      </c>
      <c r="BX31" s="28">
        <v>-2087</v>
      </c>
      <c r="BY31" s="29">
        <v>-12492</v>
      </c>
      <c r="BZ31" s="28"/>
      <c r="CA31" s="85">
        <v>-1963</v>
      </c>
      <c r="CB31" s="38">
        <v>-3227</v>
      </c>
      <c r="CC31" s="86">
        <v>-5190</v>
      </c>
    </row>
    <row r="32" spans="1:81" ht="15" customHeight="1" outlineLevel="1" x14ac:dyDescent="0.25">
      <c r="A32" s="4" t="s">
        <v>195</v>
      </c>
      <c r="B32" s="42" t="s">
        <v>19</v>
      </c>
      <c r="C32" s="28"/>
      <c r="D32" s="28"/>
      <c r="E32" s="740">
        <f>E26</f>
        <v>-0.9890000000000001</v>
      </c>
      <c r="F32" s="28"/>
      <c r="G32" s="569">
        <f>G26</f>
        <v>1.0539999999999998</v>
      </c>
      <c r="H32" s="609">
        <f t="shared" ref="H32:M32" si="22">H26</f>
        <v>-2.996</v>
      </c>
      <c r="I32" s="609">
        <f t="shared" si="22"/>
        <v>-1.9419999999999999</v>
      </c>
      <c r="J32" s="609">
        <f t="shared" si="22"/>
        <v>-0.62</v>
      </c>
      <c r="K32" s="609">
        <f t="shared" si="22"/>
        <v>-2.5619999999999998</v>
      </c>
      <c r="L32" s="609">
        <f t="shared" si="22"/>
        <v>-5.4829999999999997</v>
      </c>
      <c r="M32" s="623">
        <f t="shared" si="22"/>
        <v>-8.0449999999999999</v>
      </c>
      <c r="N32" s="28"/>
      <c r="O32" s="569">
        <f>O26</f>
        <v>-3</v>
      </c>
      <c r="P32" s="609">
        <f t="shared" ref="P32:Q32" si="23">P26</f>
        <v>1</v>
      </c>
      <c r="Q32" s="609">
        <f t="shared" si="23"/>
        <v>-1</v>
      </c>
      <c r="R32" s="609">
        <f t="shared" ref="R32:S32" si="24">R26</f>
        <v>-2</v>
      </c>
      <c r="S32" s="609">
        <f t="shared" si="24"/>
        <v>-3</v>
      </c>
      <c r="T32" s="609">
        <f t="shared" ref="T32:U32" si="25">T26</f>
        <v>-11</v>
      </c>
      <c r="U32" s="609">
        <f t="shared" si="25"/>
        <v>-14</v>
      </c>
      <c r="V32" s="580"/>
      <c r="W32" s="569">
        <v>-1</v>
      </c>
      <c r="X32" s="408">
        <f t="shared" si="0"/>
        <v>-2</v>
      </c>
      <c r="Y32" s="408">
        <v>-3</v>
      </c>
      <c r="Z32" s="408">
        <f t="shared" si="0"/>
        <v>-1</v>
      </c>
      <c r="AA32" s="424">
        <v>-4</v>
      </c>
      <c r="AB32" s="408">
        <f t="shared" si="0"/>
        <v>-4.4649999999999999</v>
      </c>
      <c r="AC32" s="29">
        <v>-8.4649999999999999</v>
      </c>
      <c r="AD32" s="580"/>
      <c r="AE32" s="27">
        <v>26</v>
      </c>
      <c r="AF32" s="408">
        <f t="shared" si="1"/>
        <v>-16</v>
      </c>
      <c r="AG32" s="408">
        <v>10</v>
      </c>
      <c r="AH32" s="408">
        <f t="shared" si="2"/>
        <v>2</v>
      </c>
      <c r="AI32" s="408">
        <v>12</v>
      </c>
      <c r="AJ32" s="408">
        <f t="shared" si="3"/>
        <v>-12</v>
      </c>
      <c r="AK32" s="29">
        <v>0</v>
      </c>
      <c r="AL32" s="28"/>
      <c r="AM32" s="27">
        <v>0</v>
      </c>
      <c r="AN32" s="408">
        <v>7</v>
      </c>
      <c r="AO32" s="408">
        <v>7</v>
      </c>
      <c r="AP32" s="408">
        <v>1</v>
      </c>
      <c r="AQ32" s="408">
        <v>8</v>
      </c>
      <c r="AR32" s="408">
        <f t="shared" si="4"/>
        <v>8</v>
      </c>
      <c r="AS32" s="29">
        <v>16</v>
      </c>
      <c r="AT32" s="28"/>
      <c r="AU32" s="27">
        <v>26</v>
      </c>
      <c r="AV32" s="408">
        <v>14</v>
      </c>
      <c r="AW32" s="408">
        <v>40</v>
      </c>
      <c r="AX32" s="408">
        <v>3</v>
      </c>
      <c r="AY32" s="408">
        <v>43</v>
      </c>
      <c r="AZ32" s="408">
        <v>-24</v>
      </c>
      <c r="BA32" s="29">
        <v>19</v>
      </c>
      <c r="BB32" s="28"/>
      <c r="BC32" s="27">
        <v>-4</v>
      </c>
      <c r="BD32" s="28">
        <v>6</v>
      </c>
      <c r="BE32" s="28">
        <v>2</v>
      </c>
      <c r="BF32" s="28">
        <v>0</v>
      </c>
      <c r="BG32" s="28">
        <v>2</v>
      </c>
      <c r="BH32" s="28">
        <v>-26</v>
      </c>
      <c r="BI32" s="29">
        <v>-24</v>
      </c>
      <c r="BJ32" s="28"/>
      <c r="BK32" s="27">
        <v>8</v>
      </c>
      <c r="BL32" s="28">
        <v>-3</v>
      </c>
      <c r="BM32" s="28">
        <v>5</v>
      </c>
      <c r="BN32" s="28">
        <v>8</v>
      </c>
      <c r="BO32" s="28">
        <v>13</v>
      </c>
      <c r="BP32" s="28">
        <v>1</v>
      </c>
      <c r="BQ32" s="29">
        <v>14</v>
      </c>
      <c r="BR32" s="28"/>
      <c r="BS32" s="27">
        <v>29</v>
      </c>
      <c r="BT32" s="28">
        <v>21</v>
      </c>
      <c r="BU32" s="28">
        <v>50</v>
      </c>
      <c r="BV32" s="28">
        <v>1</v>
      </c>
      <c r="BW32" s="28">
        <v>51</v>
      </c>
      <c r="BX32" s="28">
        <v>2</v>
      </c>
      <c r="BY32" s="29">
        <v>53</v>
      </c>
      <c r="BZ32" s="28"/>
      <c r="CA32" s="85">
        <v>6</v>
      </c>
      <c r="CB32" s="38">
        <v>34</v>
      </c>
      <c r="CC32" s="86">
        <v>40</v>
      </c>
    </row>
    <row r="33" spans="1:81" ht="15" customHeight="1" outlineLevel="1" x14ac:dyDescent="0.25">
      <c r="A33" s="4" t="s">
        <v>95</v>
      </c>
      <c r="B33" s="42" t="s">
        <v>20</v>
      </c>
      <c r="C33" s="28"/>
      <c r="D33" s="28"/>
      <c r="E33" s="740">
        <f>E27</f>
        <v>3001.03</v>
      </c>
      <c r="F33" s="28"/>
      <c r="G33" s="569">
        <f>G27</f>
        <v>3344.0189999999998</v>
      </c>
      <c r="H33" s="609">
        <f t="shared" ref="H33:M33" si="26">H27</f>
        <v>3747.415</v>
      </c>
      <c r="I33" s="609">
        <f t="shared" si="26"/>
        <v>7091.4340000000002</v>
      </c>
      <c r="J33" s="609">
        <f t="shared" si="26"/>
        <v>3818.134</v>
      </c>
      <c r="K33" s="609">
        <f t="shared" si="26"/>
        <v>10909.567999999999</v>
      </c>
      <c r="L33" s="609">
        <f t="shared" si="26"/>
        <v>3655.2510000000002</v>
      </c>
      <c r="M33" s="623">
        <f t="shared" si="26"/>
        <v>14564.819</v>
      </c>
      <c r="N33" s="28"/>
      <c r="O33" s="569">
        <f>O27</f>
        <v>3526</v>
      </c>
      <c r="P33" s="609">
        <f t="shared" ref="P33:Q33" si="27">P27</f>
        <v>3253</v>
      </c>
      <c r="Q33" s="609">
        <f t="shared" si="27"/>
        <v>6780</v>
      </c>
      <c r="R33" s="609">
        <f t="shared" ref="R33:S33" si="28">R27</f>
        <v>3334</v>
      </c>
      <c r="S33" s="609">
        <f t="shared" si="28"/>
        <v>10114</v>
      </c>
      <c r="T33" s="609">
        <f t="shared" ref="T33:U33" si="29">T27</f>
        <v>3252</v>
      </c>
      <c r="U33" s="609">
        <f t="shared" si="29"/>
        <v>13366</v>
      </c>
      <c r="V33" s="580"/>
      <c r="W33" s="569">
        <v>4799</v>
      </c>
      <c r="X33" s="408">
        <f t="shared" si="0"/>
        <v>5423</v>
      </c>
      <c r="Y33" s="408">
        <v>10222</v>
      </c>
      <c r="Z33" s="408">
        <f t="shared" si="0"/>
        <v>5476</v>
      </c>
      <c r="AA33" s="424">
        <v>15698</v>
      </c>
      <c r="AB33" s="408">
        <f t="shared" si="0"/>
        <v>4545.9759999999987</v>
      </c>
      <c r="AC33" s="29">
        <v>20243.975999999999</v>
      </c>
      <c r="AD33" s="580"/>
      <c r="AE33" s="27">
        <v>2920</v>
      </c>
      <c r="AF33" s="408">
        <f t="shared" si="1"/>
        <v>3078</v>
      </c>
      <c r="AG33" s="408">
        <v>5998</v>
      </c>
      <c r="AH33" s="408">
        <f t="shared" si="2"/>
        <v>3503</v>
      </c>
      <c r="AI33" s="408">
        <v>9501</v>
      </c>
      <c r="AJ33" s="408">
        <f t="shared" si="3"/>
        <v>4260</v>
      </c>
      <c r="AK33" s="29">
        <v>13761</v>
      </c>
      <c r="AL33" s="28"/>
      <c r="AM33" s="27">
        <v>2984</v>
      </c>
      <c r="AN33" s="408">
        <v>2799</v>
      </c>
      <c r="AO33" s="408">
        <v>5783</v>
      </c>
      <c r="AP33" s="408">
        <v>2960</v>
      </c>
      <c r="AQ33" s="408">
        <v>8743</v>
      </c>
      <c r="AR33" s="408">
        <f t="shared" si="4"/>
        <v>3125</v>
      </c>
      <c r="AS33" s="29">
        <v>11868</v>
      </c>
      <c r="AT33" s="28"/>
      <c r="AU33" s="27">
        <v>3820</v>
      </c>
      <c r="AV33" s="408">
        <v>3514</v>
      </c>
      <c r="AW33" s="408">
        <v>7334</v>
      </c>
      <c r="AX33" s="408">
        <v>3436</v>
      </c>
      <c r="AY33" s="408">
        <v>10770</v>
      </c>
      <c r="AZ33" s="408">
        <v>3315</v>
      </c>
      <c r="BA33" s="29">
        <v>14085</v>
      </c>
      <c r="BB33" s="28"/>
      <c r="BC33" s="27">
        <v>4565</v>
      </c>
      <c r="BD33" s="28">
        <v>4545</v>
      </c>
      <c r="BE33" s="28">
        <v>9110</v>
      </c>
      <c r="BF33" s="28">
        <v>4390</v>
      </c>
      <c r="BG33" s="28">
        <v>13500</v>
      </c>
      <c r="BH33" s="28">
        <v>4067</v>
      </c>
      <c r="BI33" s="29">
        <v>17567</v>
      </c>
      <c r="BJ33" s="28"/>
      <c r="BK33" s="27">
        <v>4099</v>
      </c>
      <c r="BL33" s="28">
        <v>4339</v>
      </c>
      <c r="BM33" s="28">
        <v>8438</v>
      </c>
      <c r="BN33" s="28">
        <v>4466</v>
      </c>
      <c r="BO33" s="28">
        <v>12904</v>
      </c>
      <c r="BP33" s="28">
        <v>4582</v>
      </c>
      <c r="BQ33" s="29">
        <v>17486</v>
      </c>
      <c r="BR33" s="28"/>
      <c r="BS33" s="27">
        <v>3528</v>
      </c>
      <c r="BT33" s="28">
        <v>3507</v>
      </c>
      <c r="BU33" s="28">
        <v>7035</v>
      </c>
      <c r="BV33" s="28">
        <v>3662</v>
      </c>
      <c r="BW33" s="28">
        <v>10697</v>
      </c>
      <c r="BX33" s="28">
        <v>3824</v>
      </c>
      <c r="BY33" s="29">
        <v>14521</v>
      </c>
      <c r="BZ33" s="28"/>
      <c r="CA33" s="85">
        <v>1206</v>
      </c>
      <c r="CB33" s="38">
        <v>3641</v>
      </c>
      <c r="CC33" s="86">
        <v>4847</v>
      </c>
    </row>
    <row r="34" spans="1:81" ht="15" customHeight="1" outlineLevel="1" x14ac:dyDescent="0.25">
      <c r="A34" s="4" t="s">
        <v>96</v>
      </c>
      <c r="B34" s="42" t="s">
        <v>55</v>
      </c>
      <c r="C34" s="28"/>
      <c r="D34" s="28"/>
      <c r="E34" s="742">
        <v>6252</v>
      </c>
      <c r="F34" s="28"/>
      <c r="G34" s="624">
        <v>5698</v>
      </c>
      <c r="H34" s="542">
        <v>5458</v>
      </c>
      <c r="I34" s="542">
        <v>11156</v>
      </c>
      <c r="J34" s="542">
        <v>5369</v>
      </c>
      <c r="K34" s="542">
        <v>16525</v>
      </c>
      <c r="L34" s="542">
        <v>5224</v>
      </c>
      <c r="M34" s="632">
        <v>21749</v>
      </c>
      <c r="N34" s="28"/>
      <c r="O34" s="569">
        <v>5799</v>
      </c>
      <c r="P34" s="408">
        <v>5635</v>
      </c>
      <c r="Q34" s="408">
        <v>11434</v>
      </c>
      <c r="R34" s="408">
        <v>5543</v>
      </c>
      <c r="S34" s="408">
        <v>16977</v>
      </c>
      <c r="T34" s="408">
        <f>U34-S34</f>
        <v>5462</v>
      </c>
      <c r="U34" s="408">
        <v>22439</v>
      </c>
      <c r="V34" s="580"/>
      <c r="W34" s="569">
        <v>6378</v>
      </c>
      <c r="X34" s="408">
        <f t="shared" si="0"/>
        <v>6768</v>
      </c>
      <c r="Y34" s="408">
        <v>13146</v>
      </c>
      <c r="Z34" s="408">
        <f t="shared" si="0"/>
        <v>6499</v>
      </c>
      <c r="AA34" s="424">
        <v>19645</v>
      </c>
      <c r="AB34" s="408">
        <f t="shared" si="0"/>
        <v>6069.4599999999991</v>
      </c>
      <c r="AC34" s="29">
        <v>25714.46</v>
      </c>
      <c r="AD34" s="580"/>
      <c r="AE34" s="27">
        <v>5412</v>
      </c>
      <c r="AF34" s="408">
        <f t="shared" si="1"/>
        <v>5536</v>
      </c>
      <c r="AG34" s="408">
        <v>10948</v>
      </c>
      <c r="AH34" s="408">
        <f t="shared" si="2"/>
        <v>5700</v>
      </c>
      <c r="AI34" s="408">
        <v>16648</v>
      </c>
      <c r="AJ34" s="408">
        <f t="shared" si="3"/>
        <v>6094</v>
      </c>
      <c r="AK34" s="29">
        <f>22972-230</f>
        <v>22742</v>
      </c>
      <c r="AL34" s="28"/>
      <c r="AM34" s="27">
        <v>5358</v>
      </c>
      <c r="AN34" s="408">
        <v>5343</v>
      </c>
      <c r="AO34" s="408">
        <v>10701</v>
      </c>
      <c r="AP34" s="408">
        <v>5792</v>
      </c>
      <c r="AQ34" s="408">
        <v>16493</v>
      </c>
      <c r="AR34" s="408">
        <f t="shared" si="4"/>
        <v>5555</v>
      </c>
      <c r="AS34" s="29">
        <v>22048</v>
      </c>
      <c r="AT34" s="28"/>
      <c r="AU34" s="27">
        <v>5152</v>
      </c>
      <c r="AV34" s="408">
        <v>5286</v>
      </c>
      <c r="AW34" s="408">
        <v>10438</v>
      </c>
      <c r="AX34" s="408">
        <v>5295</v>
      </c>
      <c r="AY34" s="408">
        <v>15733</v>
      </c>
      <c r="AZ34" s="408">
        <v>5352</v>
      </c>
      <c r="BA34" s="29">
        <v>21085</v>
      </c>
      <c r="BB34" s="28"/>
      <c r="BC34" s="27">
        <v>5157</v>
      </c>
      <c r="BD34" s="28">
        <v>5298</v>
      </c>
      <c r="BE34" s="28">
        <v>10455</v>
      </c>
      <c r="BF34" s="28">
        <v>5275</v>
      </c>
      <c r="BG34" s="28">
        <v>15730</v>
      </c>
      <c r="BH34" s="28">
        <v>5401</v>
      </c>
      <c r="BI34" s="29">
        <v>21131</v>
      </c>
      <c r="BJ34" s="28"/>
      <c r="BK34" s="27">
        <v>5372</v>
      </c>
      <c r="BL34" s="28">
        <v>5187</v>
      </c>
      <c r="BM34" s="28">
        <v>10559</v>
      </c>
      <c r="BN34" s="28">
        <v>5323</v>
      </c>
      <c r="BO34" s="28">
        <v>15882</v>
      </c>
      <c r="BP34" s="28">
        <v>5595</v>
      </c>
      <c r="BQ34" s="29">
        <v>21477</v>
      </c>
      <c r="BR34" s="28"/>
      <c r="BS34" s="27">
        <v>17532</v>
      </c>
      <c r="BT34" s="28">
        <v>13012</v>
      </c>
      <c r="BU34" s="28">
        <v>30544</v>
      </c>
      <c r="BV34" s="28">
        <v>4338</v>
      </c>
      <c r="BW34" s="28">
        <v>34882</v>
      </c>
      <c r="BX34" s="28">
        <v>5052</v>
      </c>
      <c r="BY34" s="29">
        <v>39934</v>
      </c>
      <c r="BZ34" s="28"/>
      <c r="CA34" s="85">
        <v>5192</v>
      </c>
      <c r="CB34" s="38">
        <v>18222</v>
      </c>
      <c r="CC34" s="86">
        <v>23414</v>
      </c>
    </row>
    <row r="35" spans="1:81" s="163" customFormat="1" ht="15" customHeight="1" outlineLevel="1" x14ac:dyDescent="0.25">
      <c r="A35" s="4" t="s">
        <v>220</v>
      </c>
      <c r="B35" s="77" t="s">
        <v>56</v>
      </c>
      <c r="C35" s="161"/>
      <c r="D35" s="161"/>
      <c r="E35" s="743">
        <v>74</v>
      </c>
      <c r="F35" s="161"/>
      <c r="G35" s="628">
        <v>74</v>
      </c>
      <c r="H35" s="613">
        <v>73</v>
      </c>
      <c r="I35" s="613">
        <v>147</v>
      </c>
      <c r="J35" s="613">
        <v>74</v>
      </c>
      <c r="K35" s="613">
        <v>221</v>
      </c>
      <c r="L35" s="613">
        <v>74</v>
      </c>
      <c r="M35" s="633">
        <v>295</v>
      </c>
      <c r="N35" s="161"/>
      <c r="O35" s="570">
        <v>74</v>
      </c>
      <c r="P35" s="409">
        <v>73</v>
      </c>
      <c r="Q35" s="409">
        <v>147</v>
      </c>
      <c r="R35" s="409">
        <v>74</v>
      </c>
      <c r="S35" s="409">
        <v>221</v>
      </c>
      <c r="T35" s="409">
        <f>U35-S35</f>
        <v>74</v>
      </c>
      <c r="U35" s="409">
        <v>295</v>
      </c>
      <c r="V35" s="581"/>
      <c r="W35" s="570">
        <v>74</v>
      </c>
      <c r="X35" s="409">
        <f t="shared" si="0"/>
        <v>73</v>
      </c>
      <c r="Y35" s="409">
        <v>147</v>
      </c>
      <c r="Z35" s="409">
        <f t="shared" si="0"/>
        <v>74</v>
      </c>
      <c r="AA35" s="425">
        <v>221</v>
      </c>
      <c r="AB35" s="409">
        <f t="shared" si="0"/>
        <v>73.54000000000002</v>
      </c>
      <c r="AC35" s="162">
        <v>294.54000000000002</v>
      </c>
      <c r="AD35" s="581"/>
      <c r="AE35" s="160">
        <v>42</v>
      </c>
      <c r="AF35" s="409">
        <f t="shared" si="1"/>
        <v>48</v>
      </c>
      <c r="AG35" s="409">
        <v>90</v>
      </c>
      <c r="AH35" s="409">
        <f t="shared" si="2"/>
        <v>66</v>
      </c>
      <c r="AI35" s="409">
        <v>156</v>
      </c>
      <c r="AJ35" s="409">
        <f t="shared" si="3"/>
        <v>74</v>
      </c>
      <c r="AK35" s="162">
        <v>230</v>
      </c>
      <c r="AL35" s="161"/>
      <c r="AM35" s="160">
        <v>97</v>
      </c>
      <c r="AN35" s="409">
        <v>96</v>
      </c>
      <c r="AO35" s="409">
        <v>193</v>
      </c>
      <c r="AP35" s="409">
        <v>76</v>
      </c>
      <c r="AQ35" s="409">
        <v>269</v>
      </c>
      <c r="AR35" s="409">
        <f t="shared" si="4"/>
        <v>38</v>
      </c>
      <c r="AS35" s="162">
        <v>307</v>
      </c>
      <c r="AT35" s="161"/>
      <c r="AU35" s="160">
        <v>101</v>
      </c>
      <c r="AV35" s="409">
        <v>100</v>
      </c>
      <c r="AW35" s="409">
        <v>201</v>
      </c>
      <c r="AX35" s="409">
        <v>99</v>
      </c>
      <c r="AY35" s="409">
        <v>300</v>
      </c>
      <c r="AZ35" s="409">
        <v>98</v>
      </c>
      <c r="BA35" s="162">
        <v>398</v>
      </c>
      <c r="BB35" s="161"/>
      <c r="BC35" s="160">
        <v>101</v>
      </c>
      <c r="BD35" s="161">
        <v>102</v>
      </c>
      <c r="BE35" s="161">
        <v>203</v>
      </c>
      <c r="BF35" s="161">
        <v>104</v>
      </c>
      <c r="BG35" s="161">
        <v>307</v>
      </c>
      <c r="BH35" s="161">
        <v>102</v>
      </c>
      <c r="BI35" s="162">
        <v>409</v>
      </c>
      <c r="BJ35" s="161"/>
      <c r="BK35" s="160">
        <v>109</v>
      </c>
      <c r="BL35" s="161">
        <v>106</v>
      </c>
      <c r="BM35" s="161">
        <v>215</v>
      </c>
      <c r="BN35" s="161">
        <v>104</v>
      </c>
      <c r="BO35" s="161">
        <v>319</v>
      </c>
      <c r="BP35" s="161">
        <v>102</v>
      </c>
      <c r="BQ35" s="162">
        <v>421</v>
      </c>
      <c r="BR35" s="161"/>
      <c r="BS35" s="160">
        <v>123</v>
      </c>
      <c r="BT35" s="161">
        <v>117</v>
      </c>
      <c r="BU35" s="161">
        <v>240</v>
      </c>
      <c r="BV35" s="161">
        <v>111</v>
      </c>
      <c r="BW35" s="161">
        <v>351</v>
      </c>
      <c r="BX35" s="161">
        <v>108</v>
      </c>
      <c r="BY35" s="162">
        <v>459</v>
      </c>
      <c r="BZ35" s="161"/>
      <c r="CA35" s="198">
        <v>45</v>
      </c>
      <c r="CB35" s="192">
        <v>135</v>
      </c>
      <c r="CC35" s="193">
        <v>180</v>
      </c>
    </row>
    <row r="36" spans="1:81" s="14" customFormat="1" x14ac:dyDescent="0.25">
      <c r="A36" s="4" t="s">
        <v>57</v>
      </c>
      <c r="B36" s="88" t="s">
        <v>57</v>
      </c>
      <c r="C36" s="20"/>
      <c r="D36" s="20"/>
      <c r="E36" s="706">
        <f>SUM(E29:E35)</f>
        <v>13930.140000000007</v>
      </c>
      <c r="F36" s="20"/>
      <c r="G36" s="567">
        <f>SUM(G29:G35)</f>
        <v>14167.367000000011</v>
      </c>
      <c r="H36" s="608">
        <f t="shared" ref="H36:M36" si="30">SUM(H29:H35)</f>
        <v>15451.812999999984</v>
      </c>
      <c r="I36" s="608">
        <f t="shared" si="30"/>
        <v>29619.180000000004</v>
      </c>
      <c r="J36" s="608">
        <f t="shared" si="30"/>
        <v>21894.411999999997</v>
      </c>
      <c r="K36" s="608">
        <f t="shared" si="30"/>
        <v>51513.59199999999</v>
      </c>
      <c r="L36" s="608">
        <f t="shared" si="30"/>
        <v>21998.142999999993</v>
      </c>
      <c r="M36" s="622">
        <f t="shared" si="30"/>
        <v>73511.734999999942</v>
      </c>
      <c r="N36" s="20"/>
      <c r="O36" s="567">
        <f>SUM(O29:O35)</f>
        <v>13999</v>
      </c>
      <c r="P36" s="608">
        <f t="shared" ref="P36:Q36" si="31">SUM(P29:P35)</f>
        <v>16226</v>
      </c>
      <c r="Q36" s="608">
        <f t="shared" si="31"/>
        <v>30227</v>
      </c>
      <c r="R36" s="608">
        <f t="shared" ref="R36:S36" si="32">SUM(R29:R35)</f>
        <v>20468</v>
      </c>
      <c r="S36" s="608">
        <f t="shared" si="32"/>
        <v>50695</v>
      </c>
      <c r="T36" s="608">
        <f t="shared" ref="T36:U36" si="33">SUM(T29:T35)</f>
        <v>10551</v>
      </c>
      <c r="U36" s="608">
        <f t="shared" si="33"/>
        <v>61246</v>
      </c>
      <c r="V36" s="578"/>
      <c r="W36" s="567">
        <v>14126</v>
      </c>
      <c r="X36" s="406">
        <f t="shared" si="0"/>
        <v>17472</v>
      </c>
      <c r="Y36" s="406">
        <v>31598</v>
      </c>
      <c r="Z36" s="406">
        <f t="shared" si="0"/>
        <v>19802</v>
      </c>
      <c r="AA36" s="423">
        <v>51400</v>
      </c>
      <c r="AB36" s="406">
        <f t="shared" si="0"/>
        <v>21528.887000000002</v>
      </c>
      <c r="AC36" s="21">
        <v>72928.887000000002</v>
      </c>
      <c r="AD36" s="578"/>
      <c r="AE36" s="25">
        <v>11864</v>
      </c>
      <c r="AF36" s="406">
        <f t="shared" si="1"/>
        <v>17910</v>
      </c>
      <c r="AG36" s="406">
        <v>29774</v>
      </c>
      <c r="AH36" s="406">
        <f t="shared" si="2"/>
        <v>17082</v>
      </c>
      <c r="AI36" s="406">
        <v>46856</v>
      </c>
      <c r="AJ36" s="406">
        <f t="shared" si="3"/>
        <v>19635</v>
      </c>
      <c r="AK36" s="21">
        <v>66491</v>
      </c>
      <c r="AL36" s="20"/>
      <c r="AM36" s="25">
        <v>11206</v>
      </c>
      <c r="AN36" s="406">
        <v>17600</v>
      </c>
      <c r="AO36" s="406">
        <v>28806</v>
      </c>
      <c r="AP36" s="406">
        <v>15882</v>
      </c>
      <c r="AQ36" s="406">
        <v>44688</v>
      </c>
      <c r="AR36" s="406">
        <f t="shared" si="4"/>
        <v>16608</v>
      </c>
      <c r="AS36" s="21">
        <v>61296</v>
      </c>
      <c r="AT36" s="20"/>
      <c r="AU36" s="25">
        <v>9368</v>
      </c>
      <c r="AV36" s="406">
        <v>9188</v>
      </c>
      <c r="AW36" s="406">
        <v>18556</v>
      </c>
      <c r="AX36" s="406">
        <v>13750</v>
      </c>
      <c r="AY36" s="406">
        <v>32306</v>
      </c>
      <c r="AZ36" s="406">
        <v>17445</v>
      </c>
      <c r="BA36" s="21">
        <v>49751</v>
      </c>
      <c r="BB36" s="20"/>
      <c r="BC36" s="25">
        <v>7504</v>
      </c>
      <c r="BD36" s="20">
        <v>10322</v>
      </c>
      <c r="BE36" s="20">
        <v>17826</v>
      </c>
      <c r="BF36" s="20">
        <v>11384</v>
      </c>
      <c r="BG36" s="20">
        <v>29210</v>
      </c>
      <c r="BH36" s="20">
        <v>14452</v>
      </c>
      <c r="BI36" s="21">
        <v>43662</v>
      </c>
      <c r="BJ36" s="20"/>
      <c r="BK36" s="25">
        <v>5034</v>
      </c>
      <c r="BL36" s="20">
        <v>6989</v>
      </c>
      <c r="BM36" s="20">
        <v>12023</v>
      </c>
      <c r="BN36" s="20">
        <v>6897</v>
      </c>
      <c r="BO36" s="20">
        <v>18920</v>
      </c>
      <c r="BP36" s="20">
        <v>6219</v>
      </c>
      <c r="BQ36" s="21">
        <v>25139</v>
      </c>
      <c r="BR36" s="20"/>
      <c r="BS36" s="25">
        <v>8080</v>
      </c>
      <c r="BT36" s="20">
        <v>8137</v>
      </c>
      <c r="BU36" s="20">
        <v>16217</v>
      </c>
      <c r="BV36" s="20">
        <v>4316</v>
      </c>
      <c r="BW36" s="20">
        <v>20533</v>
      </c>
      <c r="BX36" s="20">
        <v>12537</v>
      </c>
      <c r="BY36" s="21">
        <v>33070</v>
      </c>
      <c r="BZ36" s="20"/>
      <c r="CA36" s="84">
        <v>1319</v>
      </c>
      <c r="CB36" s="39">
        <v>11531</v>
      </c>
      <c r="CC36" s="40">
        <v>12850</v>
      </c>
    </row>
    <row r="37" spans="1:81" ht="15" customHeight="1" outlineLevel="1" x14ac:dyDescent="0.25">
      <c r="A37" s="4" t="s">
        <v>233</v>
      </c>
      <c r="B37" s="42" t="s">
        <v>58</v>
      </c>
      <c r="C37" s="28"/>
      <c r="D37" s="28"/>
      <c r="E37" s="740"/>
      <c r="F37" s="28"/>
      <c r="G37" s="569"/>
      <c r="H37" s="408"/>
      <c r="I37" s="408"/>
      <c r="J37" s="408"/>
      <c r="K37" s="408"/>
      <c r="L37" s="408"/>
      <c r="M37" s="29"/>
      <c r="N37" s="28"/>
      <c r="O37" s="569"/>
      <c r="P37" s="408"/>
      <c r="Q37" s="408"/>
      <c r="R37" s="408"/>
      <c r="S37" s="408"/>
      <c r="T37" s="408"/>
      <c r="U37" s="408"/>
      <c r="V37" s="580"/>
      <c r="W37" s="569"/>
      <c r="X37" s="408"/>
      <c r="Y37" s="408"/>
      <c r="Z37" s="408"/>
      <c r="AA37" s="424"/>
      <c r="AB37" s="408"/>
      <c r="AC37" s="29"/>
      <c r="AD37" s="580"/>
      <c r="AE37" s="27">
        <v>0</v>
      </c>
      <c r="AF37" s="408">
        <f t="shared" si="1"/>
        <v>0</v>
      </c>
      <c r="AG37" s="408"/>
      <c r="AH37" s="408">
        <f t="shared" si="2"/>
        <v>0</v>
      </c>
      <c r="AI37" s="408"/>
      <c r="AJ37" s="408">
        <f t="shared" si="3"/>
        <v>0</v>
      </c>
      <c r="AK37" s="29"/>
      <c r="AL37" s="28"/>
      <c r="AM37" s="27">
        <v>0</v>
      </c>
      <c r="AN37" s="408">
        <v>0</v>
      </c>
      <c r="AO37" s="408">
        <v>0</v>
      </c>
      <c r="AP37" s="408">
        <v>0</v>
      </c>
      <c r="AQ37" s="408">
        <v>0</v>
      </c>
      <c r="AR37" s="408">
        <f t="shared" si="4"/>
        <v>0</v>
      </c>
      <c r="AS37" s="29">
        <v>0</v>
      </c>
      <c r="AT37" s="28"/>
      <c r="AU37" s="27">
        <v>0</v>
      </c>
      <c r="AV37" s="408">
        <v>0</v>
      </c>
      <c r="AW37" s="408">
        <v>0</v>
      </c>
      <c r="AX37" s="408">
        <v>0</v>
      </c>
      <c r="AY37" s="408">
        <v>0</v>
      </c>
      <c r="AZ37" s="408">
        <v>0</v>
      </c>
      <c r="BA37" s="29">
        <v>0</v>
      </c>
      <c r="BB37" s="28"/>
      <c r="BC37" s="27">
        <v>0</v>
      </c>
      <c r="BD37" s="28">
        <v>0</v>
      </c>
      <c r="BE37" s="28">
        <v>0</v>
      </c>
      <c r="BF37" s="28">
        <v>0</v>
      </c>
      <c r="BG37" s="28">
        <v>0</v>
      </c>
      <c r="BH37" s="28">
        <v>0</v>
      </c>
      <c r="BI37" s="29">
        <v>0</v>
      </c>
      <c r="BJ37" s="28"/>
      <c r="BK37" s="27">
        <v>0</v>
      </c>
      <c r="BL37" s="28">
        <v>0</v>
      </c>
      <c r="BM37" s="28">
        <v>0</v>
      </c>
      <c r="BN37" s="28">
        <v>-259</v>
      </c>
      <c r="BO37" s="28">
        <v>-259</v>
      </c>
      <c r="BP37" s="28">
        <v>65</v>
      </c>
      <c r="BQ37" s="29">
        <v>-194</v>
      </c>
      <c r="BR37" s="28"/>
      <c r="BS37" s="27">
        <v>0</v>
      </c>
      <c r="BT37" s="28">
        <v>0</v>
      </c>
      <c r="BU37" s="28">
        <v>0</v>
      </c>
      <c r="BV37" s="28">
        <v>0</v>
      </c>
      <c r="BW37" s="28"/>
      <c r="BX37" s="28">
        <v>-160</v>
      </c>
      <c r="BY37" s="29">
        <v>-160</v>
      </c>
      <c r="BZ37" s="28"/>
      <c r="CA37" s="84">
        <v>0</v>
      </c>
      <c r="CB37" s="39">
        <v>0</v>
      </c>
      <c r="CC37" s="40">
        <v>0</v>
      </c>
    </row>
    <row r="38" spans="1:81" ht="15" customHeight="1" outlineLevel="1" x14ac:dyDescent="0.25">
      <c r="A38" s="4" t="s">
        <v>59</v>
      </c>
      <c r="B38" s="42" t="s">
        <v>59</v>
      </c>
      <c r="C38" s="28"/>
      <c r="D38" s="28"/>
      <c r="E38" s="742">
        <v>600</v>
      </c>
      <c r="F38" s="28"/>
      <c r="G38" s="624">
        <v>545</v>
      </c>
      <c r="H38" s="542">
        <f>I38-G38</f>
        <v>622</v>
      </c>
      <c r="I38" s="542">
        <v>1167</v>
      </c>
      <c r="J38" s="542">
        <f>K38-I38</f>
        <v>571</v>
      </c>
      <c r="K38" s="542">
        <v>1738</v>
      </c>
      <c r="L38" s="542">
        <f>M38-K38</f>
        <v>678</v>
      </c>
      <c r="M38" s="632">
        <v>2416</v>
      </c>
      <c r="N38" s="28"/>
      <c r="O38" s="569">
        <v>534</v>
      </c>
      <c r="P38" s="408">
        <v>552</v>
      </c>
      <c r="Q38" s="408">
        <v>1086</v>
      </c>
      <c r="R38" s="408">
        <v>544</v>
      </c>
      <c r="S38" s="408">
        <v>1630</v>
      </c>
      <c r="T38" s="408">
        <f>U38-S38</f>
        <v>499</v>
      </c>
      <c r="U38" s="408">
        <v>2129</v>
      </c>
      <c r="V38" s="580"/>
      <c r="W38" s="569">
        <v>252</v>
      </c>
      <c r="X38" s="408">
        <f t="shared" si="0"/>
        <v>478</v>
      </c>
      <c r="Y38" s="408">
        <v>730</v>
      </c>
      <c r="Z38" s="408">
        <f t="shared" si="0"/>
        <v>258</v>
      </c>
      <c r="AA38" s="424">
        <v>988</v>
      </c>
      <c r="AB38" s="408">
        <f t="shared" si="0"/>
        <v>203</v>
      </c>
      <c r="AC38" s="29">
        <v>1191</v>
      </c>
      <c r="AD38" s="580"/>
      <c r="AE38" s="27">
        <v>411</v>
      </c>
      <c r="AF38" s="408">
        <f t="shared" si="1"/>
        <v>418</v>
      </c>
      <c r="AG38" s="408">
        <v>829</v>
      </c>
      <c r="AH38" s="408">
        <f t="shared" si="2"/>
        <v>381</v>
      </c>
      <c r="AI38" s="408">
        <v>1210</v>
      </c>
      <c r="AJ38" s="408">
        <f t="shared" si="3"/>
        <v>301</v>
      </c>
      <c r="AK38" s="29">
        <v>1511</v>
      </c>
      <c r="AL38" s="28"/>
      <c r="AM38" s="27">
        <v>628</v>
      </c>
      <c r="AN38" s="408">
        <v>659</v>
      </c>
      <c r="AO38" s="408">
        <v>1287</v>
      </c>
      <c r="AP38" s="408">
        <v>639</v>
      </c>
      <c r="AQ38" s="408">
        <v>1926</v>
      </c>
      <c r="AR38" s="408">
        <f t="shared" si="4"/>
        <v>502</v>
      </c>
      <c r="AS38" s="29">
        <v>2428</v>
      </c>
      <c r="AT38" s="28"/>
      <c r="AU38" s="27">
        <v>515</v>
      </c>
      <c r="AV38" s="408">
        <v>640</v>
      </c>
      <c r="AW38" s="408">
        <v>1155</v>
      </c>
      <c r="AX38" s="408">
        <v>715</v>
      </c>
      <c r="AY38" s="408">
        <v>1870</v>
      </c>
      <c r="AZ38" s="408">
        <v>619</v>
      </c>
      <c r="BA38" s="29">
        <v>2489</v>
      </c>
      <c r="BB38" s="28"/>
      <c r="BC38" s="27">
        <v>559</v>
      </c>
      <c r="BD38" s="28">
        <v>637</v>
      </c>
      <c r="BE38" s="28">
        <v>1196</v>
      </c>
      <c r="BF38" s="28">
        <v>546</v>
      </c>
      <c r="BG38" s="28">
        <v>1742</v>
      </c>
      <c r="BH38" s="28">
        <v>618</v>
      </c>
      <c r="BI38" s="29">
        <v>2360</v>
      </c>
      <c r="BJ38" s="28"/>
      <c r="BK38" s="27">
        <v>612</v>
      </c>
      <c r="BL38" s="28">
        <v>623</v>
      </c>
      <c r="BM38" s="28">
        <v>1235</v>
      </c>
      <c r="BN38" s="28">
        <v>668</v>
      </c>
      <c r="BO38" s="28">
        <v>1903</v>
      </c>
      <c r="BP38" s="28">
        <v>280</v>
      </c>
      <c r="BQ38" s="29">
        <v>2183</v>
      </c>
      <c r="BR38" s="28"/>
      <c r="BS38" s="27">
        <v>544</v>
      </c>
      <c r="BT38" s="28">
        <v>621</v>
      </c>
      <c r="BU38" s="28">
        <v>1165</v>
      </c>
      <c r="BV38" s="28">
        <v>621</v>
      </c>
      <c r="BW38" s="28">
        <v>1786</v>
      </c>
      <c r="BX38" s="28">
        <v>515</v>
      </c>
      <c r="BY38" s="29">
        <v>2301</v>
      </c>
      <c r="BZ38" s="28"/>
      <c r="CA38" s="85">
        <v>0</v>
      </c>
      <c r="CB38" s="38">
        <v>473</v>
      </c>
      <c r="CC38" s="86">
        <v>473</v>
      </c>
    </row>
    <row r="39" spans="1:81" ht="15" customHeight="1" outlineLevel="1" x14ac:dyDescent="0.25">
      <c r="A39" s="4" t="s">
        <v>71</v>
      </c>
      <c r="B39" s="42" t="s">
        <v>60</v>
      </c>
      <c r="C39" s="28"/>
      <c r="D39" s="28"/>
      <c r="E39" s="742">
        <v>0</v>
      </c>
      <c r="F39" s="28"/>
      <c r="G39" s="624">
        <v>0</v>
      </c>
      <c r="H39" s="542">
        <v>0</v>
      </c>
      <c r="I39" s="542">
        <v>0</v>
      </c>
      <c r="J39" s="542">
        <v>0</v>
      </c>
      <c r="K39" s="542">
        <v>0</v>
      </c>
      <c r="L39" s="542">
        <v>0</v>
      </c>
      <c r="M39" s="632">
        <v>0</v>
      </c>
      <c r="N39" s="28"/>
      <c r="O39" s="569">
        <v>0</v>
      </c>
      <c r="P39" s="408">
        <v>0</v>
      </c>
      <c r="Q39" s="408">
        <v>0</v>
      </c>
      <c r="R39" s="408">
        <v>0</v>
      </c>
      <c r="S39" s="408">
        <v>0</v>
      </c>
      <c r="T39" s="408">
        <v>0</v>
      </c>
      <c r="U39" s="408">
        <v>0</v>
      </c>
      <c r="V39" s="580"/>
      <c r="W39" s="569">
        <v>0</v>
      </c>
      <c r="X39" s="408">
        <v>0</v>
      </c>
      <c r="Y39" s="408">
        <v>0</v>
      </c>
      <c r="Z39" s="408">
        <v>0</v>
      </c>
      <c r="AA39" s="424">
        <v>0</v>
      </c>
      <c r="AB39" s="408">
        <v>0</v>
      </c>
      <c r="AC39" s="29">
        <v>0</v>
      </c>
      <c r="AD39" s="580"/>
      <c r="AE39" s="27">
        <v>0</v>
      </c>
      <c r="AF39" s="408">
        <f t="shared" si="1"/>
        <v>0</v>
      </c>
      <c r="AG39" s="408">
        <v>0</v>
      </c>
      <c r="AH39" s="408">
        <f t="shared" si="2"/>
        <v>0</v>
      </c>
      <c r="AI39" s="408">
        <v>0</v>
      </c>
      <c r="AJ39" s="408">
        <f t="shared" si="3"/>
        <v>0</v>
      </c>
      <c r="AK39" s="29">
        <v>0</v>
      </c>
      <c r="AL39" s="28"/>
      <c r="AM39" s="27">
        <v>0</v>
      </c>
      <c r="AN39" s="408">
        <v>0</v>
      </c>
      <c r="AO39" s="408">
        <v>0</v>
      </c>
      <c r="AP39" s="408">
        <v>0</v>
      </c>
      <c r="AQ39" s="408">
        <v>0</v>
      </c>
      <c r="AR39" s="408">
        <f t="shared" si="4"/>
        <v>0</v>
      </c>
      <c r="AS39" s="29">
        <v>0</v>
      </c>
      <c r="AT39" s="28"/>
      <c r="AU39" s="27">
        <v>0</v>
      </c>
      <c r="AV39" s="408">
        <v>0</v>
      </c>
      <c r="AW39" s="408">
        <v>0</v>
      </c>
      <c r="AX39" s="408">
        <v>0</v>
      </c>
      <c r="AY39" s="408">
        <v>0</v>
      </c>
      <c r="AZ39" s="408">
        <v>0</v>
      </c>
      <c r="BA39" s="29">
        <v>0</v>
      </c>
      <c r="BB39" s="28"/>
      <c r="BC39" s="27">
        <v>0</v>
      </c>
      <c r="BD39" s="28">
        <v>0</v>
      </c>
      <c r="BE39" s="28">
        <v>0</v>
      </c>
      <c r="BF39" s="28">
        <v>0</v>
      </c>
      <c r="BG39" s="28">
        <v>0</v>
      </c>
      <c r="BH39" s="28">
        <v>0</v>
      </c>
      <c r="BI39" s="29">
        <v>0</v>
      </c>
      <c r="BJ39" s="28"/>
      <c r="BK39" s="27">
        <v>0</v>
      </c>
      <c r="BL39" s="28">
        <v>0</v>
      </c>
      <c r="BM39" s="28">
        <v>0</v>
      </c>
      <c r="BN39" s="28">
        <v>0</v>
      </c>
      <c r="BO39" s="28">
        <v>0</v>
      </c>
      <c r="BP39" s="28">
        <v>0</v>
      </c>
      <c r="BQ39" s="29">
        <v>0</v>
      </c>
      <c r="BR39" s="28"/>
      <c r="BS39" s="27">
        <v>0</v>
      </c>
      <c r="BT39" s="28">
        <v>0</v>
      </c>
      <c r="BU39" s="28">
        <v>0</v>
      </c>
      <c r="BV39" s="28">
        <v>0</v>
      </c>
      <c r="BW39" s="28">
        <v>0</v>
      </c>
      <c r="BX39" s="28">
        <v>0</v>
      </c>
      <c r="BY39" s="29">
        <v>0</v>
      </c>
      <c r="BZ39" s="28"/>
      <c r="CA39" s="85">
        <v>0</v>
      </c>
      <c r="CB39" s="38">
        <v>0</v>
      </c>
      <c r="CC39" s="86">
        <v>0</v>
      </c>
    </row>
    <row r="40" spans="1:81" ht="15" customHeight="1" outlineLevel="1" x14ac:dyDescent="0.25">
      <c r="A40" s="4" t="s">
        <v>98</v>
      </c>
      <c r="B40" s="42" t="s">
        <v>62</v>
      </c>
      <c r="C40" s="28"/>
      <c r="D40" s="28"/>
      <c r="E40" s="742">
        <v>0</v>
      </c>
      <c r="F40" s="28"/>
      <c r="G40" s="624">
        <v>0</v>
      </c>
      <c r="H40" s="542">
        <v>0</v>
      </c>
      <c r="I40" s="542">
        <v>0</v>
      </c>
      <c r="J40" s="542">
        <v>0</v>
      </c>
      <c r="K40" s="542">
        <v>0</v>
      </c>
      <c r="L40" s="542">
        <v>0</v>
      </c>
      <c r="M40" s="632">
        <v>0</v>
      </c>
      <c r="N40" s="28"/>
      <c r="O40" s="569">
        <v>0</v>
      </c>
      <c r="P40" s="408">
        <v>0</v>
      </c>
      <c r="Q40" s="408">
        <v>0</v>
      </c>
      <c r="R40" s="408">
        <v>0</v>
      </c>
      <c r="S40" s="408">
        <v>0</v>
      </c>
      <c r="T40" s="408">
        <v>0</v>
      </c>
      <c r="U40" s="408">
        <v>0</v>
      </c>
      <c r="V40" s="580"/>
      <c r="W40" s="569">
        <v>0</v>
      </c>
      <c r="X40" s="408">
        <f t="shared" si="0"/>
        <v>0</v>
      </c>
      <c r="Y40" s="408">
        <v>0</v>
      </c>
      <c r="Z40" s="408">
        <f t="shared" si="0"/>
        <v>0</v>
      </c>
      <c r="AA40" s="424">
        <v>0</v>
      </c>
      <c r="AB40" s="408">
        <f t="shared" si="0"/>
        <v>0</v>
      </c>
      <c r="AC40" s="29">
        <v>0</v>
      </c>
      <c r="AD40" s="580"/>
      <c r="AE40" s="27">
        <v>0</v>
      </c>
      <c r="AF40" s="408">
        <f t="shared" si="1"/>
        <v>0</v>
      </c>
      <c r="AG40" s="408">
        <v>0</v>
      </c>
      <c r="AH40" s="408">
        <f t="shared" si="2"/>
        <v>0</v>
      </c>
      <c r="AI40" s="408">
        <v>0</v>
      </c>
      <c r="AJ40" s="408">
        <f t="shared" si="3"/>
        <v>0</v>
      </c>
      <c r="AK40" s="29">
        <v>0</v>
      </c>
      <c r="AL40" s="28"/>
      <c r="AM40" s="27">
        <v>0</v>
      </c>
      <c r="AN40" s="408">
        <v>0</v>
      </c>
      <c r="AO40" s="408">
        <v>0</v>
      </c>
      <c r="AP40" s="408">
        <v>0</v>
      </c>
      <c r="AQ40" s="408">
        <v>0</v>
      </c>
      <c r="AR40" s="408">
        <f t="shared" si="4"/>
        <v>0</v>
      </c>
      <c r="AS40" s="29">
        <v>0</v>
      </c>
      <c r="AT40" s="28"/>
      <c r="AU40" s="27">
        <v>0</v>
      </c>
      <c r="AV40" s="408">
        <v>0</v>
      </c>
      <c r="AW40" s="408">
        <v>0</v>
      </c>
      <c r="AX40" s="408">
        <v>0</v>
      </c>
      <c r="AY40" s="408">
        <v>0</v>
      </c>
      <c r="AZ40" s="408">
        <v>0</v>
      </c>
      <c r="BA40" s="29">
        <v>0</v>
      </c>
      <c r="BB40" s="28"/>
      <c r="BC40" s="27">
        <v>0</v>
      </c>
      <c r="BD40" s="28">
        <v>0</v>
      </c>
      <c r="BE40" s="28">
        <v>0</v>
      </c>
      <c r="BF40" s="28">
        <v>0</v>
      </c>
      <c r="BG40" s="28">
        <v>0</v>
      </c>
      <c r="BH40" s="28">
        <v>0</v>
      </c>
      <c r="BI40" s="29">
        <v>0</v>
      </c>
      <c r="BJ40" s="28"/>
      <c r="BK40" s="27">
        <v>0</v>
      </c>
      <c r="BL40" s="28">
        <v>0</v>
      </c>
      <c r="BM40" s="28">
        <v>0</v>
      </c>
      <c r="BN40" s="28">
        <v>0</v>
      </c>
      <c r="BO40" s="28">
        <v>0</v>
      </c>
      <c r="BP40" s="28">
        <v>0</v>
      </c>
      <c r="BQ40" s="29">
        <v>0</v>
      </c>
      <c r="BR40" s="28"/>
      <c r="BS40" s="27">
        <v>0</v>
      </c>
      <c r="BT40" s="28">
        <v>0</v>
      </c>
      <c r="BU40" s="28">
        <v>0</v>
      </c>
      <c r="BV40" s="28">
        <v>0</v>
      </c>
      <c r="BW40" s="28">
        <v>0</v>
      </c>
      <c r="BX40" s="28">
        <v>0</v>
      </c>
      <c r="BY40" s="29">
        <v>0</v>
      </c>
      <c r="BZ40" s="28"/>
      <c r="CA40" s="85">
        <v>2063</v>
      </c>
      <c r="CB40" s="38">
        <v>0</v>
      </c>
      <c r="CC40" s="86">
        <v>2063</v>
      </c>
    </row>
    <row r="41" spans="1:81" ht="15" customHeight="1" outlineLevel="1" x14ac:dyDescent="0.25">
      <c r="B41" s="42" t="s">
        <v>63</v>
      </c>
      <c r="C41" s="28"/>
      <c r="D41" s="28"/>
      <c r="E41" s="742">
        <v>0</v>
      </c>
      <c r="F41" s="28"/>
      <c r="G41" s="624">
        <v>0</v>
      </c>
      <c r="H41" s="542">
        <v>0</v>
      </c>
      <c r="I41" s="542">
        <v>0</v>
      </c>
      <c r="J41" s="542">
        <v>0</v>
      </c>
      <c r="K41" s="542">
        <v>0</v>
      </c>
      <c r="L41" s="542">
        <v>0</v>
      </c>
      <c r="M41" s="632">
        <v>0</v>
      </c>
      <c r="N41" s="28"/>
      <c r="O41" s="569">
        <v>0</v>
      </c>
      <c r="P41" s="408">
        <v>0</v>
      </c>
      <c r="Q41" s="408">
        <v>0</v>
      </c>
      <c r="R41" s="408">
        <v>0</v>
      </c>
      <c r="S41" s="408">
        <v>0</v>
      </c>
      <c r="T41" s="408">
        <v>0</v>
      </c>
      <c r="U41" s="408">
        <v>0</v>
      </c>
      <c r="V41" s="580"/>
      <c r="W41" s="569">
        <v>0</v>
      </c>
      <c r="X41" s="408">
        <v>0</v>
      </c>
      <c r="Y41" s="408">
        <v>0</v>
      </c>
      <c r="Z41" s="408">
        <v>0</v>
      </c>
      <c r="AA41" s="424">
        <v>0</v>
      </c>
      <c r="AB41" s="408">
        <v>0</v>
      </c>
      <c r="AC41" s="29">
        <v>0</v>
      </c>
      <c r="AD41" s="580"/>
      <c r="AE41" s="27">
        <v>0</v>
      </c>
      <c r="AF41" s="408">
        <f t="shared" si="1"/>
        <v>0</v>
      </c>
      <c r="AG41" s="408">
        <v>0</v>
      </c>
      <c r="AH41" s="408">
        <f t="shared" si="2"/>
        <v>0</v>
      </c>
      <c r="AI41" s="408">
        <v>0</v>
      </c>
      <c r="AJ41" s="408">
        <f t="shared" si="3"/>
        <v>0</v>
      </c>
      <c r="AK41" s="29">
        <v>0</v>
      </c>
      <c r="AL41" s="28"/>
      <c r="AM41" s="27">
        <v>0</v>
      </c>
      <c r="AN41" s="408">
        <v>0</v>
      </c>
      <c r="AO41" s="408">
        <v>0</v>
      </c>
      <c r="AP41" s="408">
        <v>0</v>
      </c>
      <c r="AQ41" s="408">
        <v>0</v>
      </c>
      <c r="AR41" s="408">
        <f t="shared" si="4"/>
        <v>0</v>
      </c>
      <c r="AS41" s="29">
        <v>0</v>
      </c>
      <c r="AT41" s="28"/>
      <c r="AU41" s="27">
        <v>0</v>
      </c>
      <c r="AV41" s="408">
        <v>0</v>
      </c>
      <c r="AW41" s="408">
        <v>0</v>
      </c>
      <c r="AX41" s="408">
        <v>0</v>
      </c>
      <c r="AY41" s="408">
        <v>0</v>
      </c>
      <c r="AZ41" s="408">
        <v>0</v>
      </c>
      <c r="BA41" s="29">
        <v>0</v>
      </c>
      <c r="BB41" s="28"/>
      <c r="BC41" s="27">
        <v>0</v>
      </c>
      <c r="BD41" s="28">
        <v>0</v>
      </c>
      <c r="BE41" s="28">
        <v>0</v>
      </c>
      <c r="BF41" s="28">
        <v>0</v>
      </c>
      <c r="BG41" s="28">
        <v>0</v>
      </c>
      <c r="BH41" s="28">
        <v>0</v>
      </c>
      <c r="BI41" s="29">
        <v>0</v>
      </c>
      <c r="BJ41" s="28"/>
      <c r="BK41" s="27">
        <v>0</v>
      </c>
      <c r="BL41" s="28">
        <v>0</v>
      </c>
      <c r="BM41" s="28">
        <v>0</v>
      </c>
      <c r="BN41" s="28">
        <v>0</v>
      </c>
      <c r="BO41" s="28">
        <v>0</v>
      </c>
      <c r="BP41" s="28">
        <v>0</v>
      </c>
      <c r="BQ41" s="29">
        <v>0</v>
      </c>
      <c r="BR41" s="28"/>
      <c r="BS41" s="27">
        <v>0</v>
      </c>
      <c r="BT41" s="28">
        <v>0</v>
      </c>
      <c r="BU41" s="28">
        <v>0</v>
      </c>
      <c r="BV41" s="28">
        <v>0</v>
      </c>
      <c r="BW41" s="28">
        <v>0</v>
      </c>
      <c r="BX41" s="28">
        <v>0</v>
      </c>
      <c r="BY41" s="29">
        <v>0</v>
      </c>
      <c r="BZ41" s="28"/>
      <c r="CA41" s="85">
        <v>0</v>
      </c>
      <c r="CB41" s="38">
        <v>0</v>
      </c>
      <c r="CC41" s="86">
        <v>0</v>
      </c>
    </row>
    <row r="42" spans="1:81" ht="15" customHeight="1" outlineLevel="1" x14ac:dyDescent="0.25">
      <c r="A42" s="4" t="s">
        <v>157</v>
      </c>
      <c r="B42" s="42" t="s">
        <v>86</v>
      </c>
      <c r="C42" s="28"/>
      <c r="D42" s="28"/>
      <c r="E42" s="742">
        <v>0</v>
      </c>
      <c r="F42" s="28"/>
      <c r="G42" s="624">
        <v>0</v>
      </c>
      <c r="H42" s="542">
        <v>0</v>
      </c>
      <c r="I42" s="542">
        <v>0</v>
      </c>
      <c r="J42" s="542">
        <v>0</v>
      </c>
      <c r="K42" s="542">
        <v>0</v>
      </c>
      <c r="L42" s="542">
        <v>0</v>
      </c>
      <c r="M42" s="632">
        <v>0</v>
      </c>
      <c r="N42" s="28"/>
      <c r="O42" s="569">
        <v>0</v>
      </c>
      <c r="P42" s="408">
        <v>0</v>
      </c>
      <c r="Q42" s="408">
        <v>0</v>
      </c>
      <c r="R42" s="408">
        <v>0</v>
      </c>
      <c r="S42" s="408">
        <v>0</v>
      </c>
      <c r="T42" s="408">
        <v>0</v>
      </c>
      <c r="U42" s="408">
        <v>0</v>
      </c>
      <c r="V42" s="580"/>
      <c r="W42" s="569">
        <v>0</v>
      </c>
      <c r="X42" s="408">
        <f t="shared" si="0"/>
        <v>0</v>
      </c>
      <c r="Y42" s="408">
        <v>0</v>
      </c>
      <c r="Z42" s="408">
        <f t="shared" si="0"/>
        <v>0</v>
      </c>
      <c r="AA42" s="424">
        <v>0</v>
      </c>
      <c r="AB42" s="408">
        <f t="shared" si="0"/>
        <v>0</v>
      </c>
      <c r="AC42" s="29">
        <v>0</v>
      </c>
      <c r="AD42" s="580"/>
      <c r="AE42" s="27">
        <v>0</v>
      </c>
      <c r="AF42" s="408">
        <f t="shared" si="1"/>
        <v>0</v>
      </c>
      <c r="AG42" s="408">
        <v>0</v>
      </c>
      <c r="AH42" s="408">
        <f t="shared" si="2"/>
        <v>0</v>
      </c>
      <c r="AI42" s="408">
        <v>0</v>
      </c>
      <c r="AJ42" s="408">
        <f t="shared" si="3"/>
        <v>0</v>
      </c>
      <c r="AK42" s="29">
        <v>0</v>
      </c>
      <c r="AL42" s="28"/>
      <c r="AM42" s="27">
        <v>0</v>
      </c>
      <c r="AN42" s="408">
        <v>0</v>
      </c>
      <c r="AO42" s="408">
        <v>0</v>
      </c>
      <c r="AP42" s="408">
        <v>0</v>
      </c>
      <c r="AQ42" s="408">
        <v>0</v>
      </c>
      <c r="AR42" s="408">
        <f t="shared" si="4"/>
        <v>0</v>
      </c>
      <c r="AS42" s="29">
        <v>0</v>
      </c>
      <c r="AT42" s="28"/>
      <c r="AU42" s="27">
        <v>0</v>
      </c>
      <c r="AV42" s="408">
        <v>0</v>
      </c>
      <c r="AW42" s="408">
        <v>0</v>
      </c>
      <c r="AX42" s="408">
        <v>0</v>
      </c>
      <c r="AY42" s="408">
        <v>0</v>
      </c>
      <c r="AZ42" s="408">
        <v>0</v>
      </c>
      <c r="BA42" s="29">
        <v>0</v>
      </c>
      <c r="BB42" s="28"/>
      <c r="BC42" s="27">
        <v>0</v>
      </c>
      <c r="BD42" s="28">
        <v>0</v>
      </c>
      <c r="BE42" s="28">
        <v>0</v>
      </c>
      <c r="BF42" s="28">
        <v>0</v>
      </c>
      <c r="BG42" s="28">
        <v>0</v>
      </c>
      <c r="BH42" s="28">
        <v>0</v>
      </c>
      <c r="BI42" s="29">
        <v>0</v>
      </c>
      <c r="BJ42" s="28"/>
      <c r="BK42" s="27">
        <v>0</v>
      </c>
      <c r="BL42" s="28">
        <v>0</v>
      </c>
      <c r="BM42" s="28">
        <v>0</v>
      </c>
      <c r="BN42" s="28">
        <v>0</v>
      </c>
      <c r="BO42" s="28">
        <v>0</v>
      </c>
      <c r="BP42" s="28">
        <v>0</v>
      </c>
      <c r="BQ42" s="29">
        <v>0</v>
      </c>
      <c r="BR42" s="28"/>
      <c r="BS42" s="27">
        <v>875</v>
      </c>
      <c r="BT42" s="28">
        <v>875</v>
      </c>
      <c r="BU42" s="28">
        <v>1750</v>
      </c>
      <c r="BV42" s="28">
        <v>583</v>
      </c>
      <c r="BW42" s="28">
        <v>2333</v>
      </c>
      <c r="BX42" s="28">
        <v>0</v>
      </c>
      <c r="BY42" s="29">
        <v>2333</v>
      </c>
      <c r="BZ42" s="28"/>
      <c r="CA42" s="85">
        <v>292</v>
      </c>
      <c r="CB42" s="38">
        <v>875</v>
      </c>
      <c r="CC42" s="86">
        <v>1167</v>
      </c>
    </row>
    <row r="43" spans="1:81" ht="17.25" customHeight="1" outlineLevel="1" x14ac:dyDescent="0.4">
      <c r="A43" s="4" t="s">
        <v>163</v>
      </c>
      <c r="B43" s="42" t="s">
        <v>34</v>
      </c>
      <c r="C43" s="32"/>
      <c r="D43" s="32"/>
      <c r="E43" s="744">
        <v>12</v>
      </c>
      <c r="F43" s="32"/>
      <c r="G43" s="31">
        <v>104.967</v>
      </c>
      <c r="H43" s="410">
        <v>-242.416</v>
      </c>
      <c r="I43" s="410">
        <v>-137.44900000000001</v>
      </c>
      <c r="J43" s="410">
        <v>-256.21300000000002</v>
      </c>
      <c r="K43" s="410">
        <v>-393.66199999999998</v>
      </c>
      <c r="L43" s="410">
        <v>70.418999999999997</v>
      </c>
      <c r="M43" s="33">
        <v>-323.24299999999999</v>
      </c>
      <c r="N43" s="32"/>
      <c r="O43" s="571">
        <v>-34</v>
      </c>
      <c r="P43" s="410">
        <v>107</v>
      </c>
      <c r="Q43" s="410">
        <v>73</v>
      </c>
      <c r="R43" s="410">
        <v>13</v>
      </c>
      <c r="S43" s="410">
        <v>86</v>
      </c>
      <c r="T43" s="410">
        <f>U43-S43</f>
        <v>-46</v>
      </c>
      <c r="U43" s="410">
        <v>40</v>
      </c>
      <c r="V43" s="582"/>
      <c r="W43" s="571">
        <v>-77</v>
      </c>
      <c r="X43" s="410">
        <f t="shared" si="0"/>
        <v>-124</v>
      </c>
      <c r="Y43" s="410">
        <v>-201</v>
      </c>
      <c r="Z43" s="410">
        <f t="shared" si="0"/>
        <v>98</v>
      </c>
      <c r="AA43" s="428">
        <v>-103</v>
      </c>
      <c r="AB43" s="410">
        <f t="shared" si="0"/>
        <v>-412.31299999999999</v>
      </c>
      <c r="AC43" s="33">
        <v>-515.31299999999999</v>
      </c>
      <c r="AD43" s="582"/>
      <c r="AE43" s="31">
        <v>-548</v>
      </c>
      <c r="AF43" s="410">
        <f t="shared" si="1"/>
        <v>-68</v>
      </c>
      <c r="AG43" s="410">
        <v>-616</v>
      </c>
      <c r="AH43" s="410">
        <f t="shared" si="2"/>
        <v>709</v>
      </c>
      <c r="AI43" s="410">
        <v>93</v>
      </c>
      <c r="AJ43" s="410">
        <f t="shared" si="3"/>
        <v>-310</v>
      </c>
      <c r="AK43" s="33">
        <v>-217</v>
      </c>
      <c r="AL43" s="32"/>
      <c r="AM43" s="31">
        <v>-12</v>
      </c>
      <c r="AN43" s="410">
        <v>-289</v>
      </c>
      <c r="AO43" s="410">
        <v>-301</v>
      </c>
      <c r="AP43" s="410">
        <v>272</v>
      </c>
      <c r="AQ43" s="410">
        <v>-29</v>
      </c>
      <c r="AR43" s="410">
        <f t="shared" si="4"/>
        <v>427</v>
      </c>
      <c r="AS43" s="33">
        <v>398</v>
      </c>
      <c r="AT43" s="32"/>
      <c r="AU43" s="31">
        <v>370</v>
      </c>
      <c r="AV43" s="410">
        <v>798</v>
      </c>
      <c r="AW43" s="410">
        <v>1168</v>
      </c>
      <c r="AX43" s="410">
        <v>230</v>
      </c>
      <c r="AY43" s="410">
        <v>1398</v>
      </c>
      <c r="AZ43" s="410">
        <v>22</v>
      </c>
      <c r="BA43" s="33">
        <v>1420</v>
      </c>
      <c r="BB43" s="32"/>
      <c r="BC43" s="31">
        <v>-8</v>
      </c>
      <c r="BD43" s="32">
        <v>47</v>
      </c>
      <c r="BE43" s="32">
        <v>39</v>
      </c>
      <c r="BF43" s="32">
        <v>-131</v>
      </c>
      <c r="BG43" s="32">
        <v>-92</v>
      </c>
      <c r="BH43" s="32">
        <v>-30</v>
      </c>
      <c r="BI43" s="33">
        <v>-122</v>
      </c>
      <c r="BJ43" s="32"/>
      <c r="BK43" s="31">
        <v>0</v>
      </c>
      <c r="BL43" s="32">
        <v>0</v>
      </c>
      <c r="BM43" s="32">
        <v>0</v>
      </c>
      <c r="BN43" s="32">
        <v>0</v>
      </c>
      <c r="BO43" s="32">
        <v>0</v>
      </c>
      <c r="BP43" s="32">
        <v>4175</v>
      </c>
      <c r="BQ43" s="33">
        <v>4175</v>
      </c>
      <c r="BR43" s="32"/>
      <c r="BS43" s="31">
        <v>0</v>
      </c>
      <c r="BT43" s="32">
        <v>0</v>
      </c>
      <c r="BU43" s="32">
        <v>0</v>
      </c>
      <c r="BV43" s="32">
        <v>0</v>
      </c>
      <c r="BW43" s="32">
        <v>0</v>
      </c>
      <c r="BX43" s="32">
        <v>0</v>
      </c>
      <c r="BY43" s="33">
        <v>0</v>
      </c>
      <c r="BZ43" s="32"/>
      <c r="CA43" s="272">
        <v>0</v>
      </c>
      <c r="CB43" s="271">
        <v>0</v>
      </c>
      <c r="CC43" s="273">
        <v>0</v>
      </c>
    </row>
    <row r="44" spans="1:81" s="14" customFormat="1" x14ac:dyDescent="0.25">
      <c r="A44" s="4" t="s">
        <v>65</v>
      </c>
      <c r="B44" s="88" t="s">
        <v>65</v>
      </c>
      <c r="C44" s="20"/>
      <c r="D44" s="20"/>
      <c r="E44" s="706">
        <f>SUM(E36:E43)</f>
        <v>14542.140000000007</v>
      </c>
      <c r="F44" s="20"/>
      <c r="G44" s="567">
        <f>SUM(G36:G43)</f>
        <v>14817.334000000012</v>
      </c>
      <c r="H44" s="608">
        <f t="shared" ref="H44:M44" si="34">SUM(H36:H43)</f>
        <v>15831.396999999984</v>
      </c>
      <c r="I44" s="608">
        <f>SUM(I36:I43)-1</f>
        <v>30647.731000000003</v>
      </c>
      <c r="J44" s="608">
        <f t="shared" si="34"/>
        <v>22209.198999999997</v>
      </c>
      <c r="K44" s="608">
        <f>SUM(K36:K43)-1</f>
        <v>52856.929999999993</v>
      </c>
      <c r="L44" s="608">
        <f t="shared" si="34"/>
        <v>22746.561999999994</v>
      </c>
      <c r="M44" s="622">
        <f t="shared" si="34"/>
        <v>75604.49199999994</v>
      </c>
      <c r="N44" s="20"/>
      <c r="O44" s="567">
        <f>SUM(O36:O43)</f>
        <v>14499</v>
      </c>
      <c r="P44" s="608">
        <f t="shared" ref="P44:Q44" si="35">SUM(P36:P43)</f>
        <v>16885</v>
      </c>
      <c r="Q44" s="608">
        <f t="shared" si="35"/>
        <v>31386</v>
      </c>
      <c r="R44" s="608">
        <f t="shared" ref="R44:S44" si="36">SUM(R36:R43)</f>
        <v>21025</v>
      </c>
      <c r="S44" s="608">
        <f t="shared" si="36"/>
        <v>52411</v>
      </c>
      <c r="T44" s="608">
        <f t="shared" ref="T44:U44" si="37">SUM(T36:T43)</f>
        <v>11004</v>
      </c>
      <c r="U44" s="608">
        <f t="shared" si="37"/>
        <v>63415</v>
      </c>
      <c r="V44" s="578"/>
      <c r="W44" s="567">
        <v>14301</v>
      </c>
      <c r="X44" s="406">
        <f t="shared" si="0"/>
        <v>17826</v>
      </c>
      <c r="Y44" s="406">
        <v>32127</v>
      </c>
      <c r="Z44" s="406">
        <f t="shared" si="0"/>
        <v>20158</v>
      </c>
      <c r="AA44" s="423">
        <v>52285</v>
      </c>
      <c r="AB44" s="406">
        <f t="shared" si="0"/>
        <v>21319.574000000008</v>
      </c>
      <c r="AC44" s="21">
        <v>73604.574000000008</v>
      </c>
      <c r="AD44" s="578"/>
      <c r="AE44" s="25">
        <v>11727</v>
      </c>
      <c r="AF44" s="406">
        <f t="shared" si="1"/>
        <v>18260</v>
      </c>
      <c r="AG44" s="406">
        <v>29987</v>
      </c>
      <c r="AH44" s="406">
        <f t="shared" si="2"/>
        <v>18172</v>
      </c>
      <c r="AI44" s="406">
        <v>48159</v>
      </c>
      <c r="AJ44" s="406">
        <f t="shared" si="3"/>
        <v>19626</v>
      </c>
      <c r="AK44" s="21">
        <v>67785</v>
      </c>
      <c r="AL44" s="20"/>
      <c r="AM44" s="25">
        <v>11822</v>
      </c>
      <c r="AN44" s="406">
        <v>17970</v>
      </c>
      <c r="AO44" s="406">
        <v>29792</v>
      </c>
      <c r="AP44" s="406">
        <v>16793</v>
      </c>
      <c r="AQ44" s="406">
        <v>46585</v>
      </c>
      <c r="AR44" s="406">
        <v>17537</v>
      </c>
      <c r="AS44" s="21">
        <v>64122</v>
      </c>
      <c r="AT44" s="20"/>
      <c r="AU44" s="25">
        <v>10253</v>
      </c>
      <c r="AV44" s="406">
        <v>10626</v>
      </c>
      <c r="AW44" s="406">
        <v>20879</v>
      </c>
      <c r="AX44" s="406">
        <v>14695</v>
      </c>
      <c r="AY44" s="406">
        <v>35574</v>
      </c>
      <c r="AZ44" s="406">
        <v>18086</v>
      </c>
      <c r="BA44" s="21">
        <v>53660</v>
      </c>
      <c r="BB44" s="20"/>
      <c r="BC44" s="25">
        <v>8055</v>
      </c>
      <c r="BD44" s="20">
        <v>11006</v>
      </c>
      <c r="BE44" s="20">
        <v>19061</v>
      </c>
      <c r="BF44" s="20">
        <v>11799</v>
      </c>
      <c r="BG44" s="20">
        <v>30860</v>
      </c>
      <c r="BH44" s="20">
        <v>15040</v>
      </c>
      <c r="BI44" s="21">
        <v>45900</v>
      </c>
      <c r="BJ44" s="20"/>
      <c r="BK44" s="25">
        <v>5646</v>
      </c>
      <c r="BL44" s="20">
        <v>7612</v>
      </c>
      <c r="BM44" s="20">
        <v>13258</v>
      </c>
      <c r="BN44" s="20">
        <v>7306</v>
      </c>
      <c r="BO44" s="20">
        <v>20564</v>
      </c>
      <c r="BP44" s="20">
        <v>10739</v>
      </c>
      <c r="BQ44" s="21">
        <v>31303</v>
      </c>
      <c r="BR44" s="20"/>
      <c r="BS44" s="25">
        <v>9499</v>
      </c>
      <c r="BT44" s="20">
        <v>9633</v>
      </c>
      <c r="BU44" s="20">
        <v>19132</v>
      </c>
      <c r="BV44" s="20">
        <v>5520</v>
      </c>
      <c r="BW44" s="20">
        <v>24652</v>
      </c>
      <c r="BX44" s="20">
        <v>12892</v>
      </c>
      <c r="BY44" s="21">
        <v>37544</v>
      </c>
      <c r="BZ44" s="20"/>
      <c r="CA44" s="84">
        <v>3674</v>
      </c>
      <c r="CB44" s="39">
        <v>12879</v>
      </c>
      <c r="CC44" s="40">
        <v>16553</v>
      </c>
    </row>
    <row r="45" spans="1:81" x14ac:dyDescent="0.25">
      <c r="B45" s="5"/>
      <c r="C45" s="20"/>
      <c r="D45" s="20"/>
      <c r="E45" s="730"/>
      <c r="F45" s="20"/>
      <c r="G45" s="572"/>
      <c r="H45" s="406"/>
      <c r="I45" s="406"/>
      <c r="J45" s="406"/>
      <c r="K45" s="406"/>
      <c r="L45" s="406"/>
      <c r="M45" s="21"/>
      <c r="N45" s="20"/>
      <c r="O45" s="572"/>
      <c r="P45" s="406"/>
      <c r="Q45" s="406"/>
      <c r="R45" s="406"/>
      <c r="S45" s="406"/>
      <c r="T45" s="406"/>
      <c r="U45" s="21"/>
      <c r="V45" s="578"/>
      <c r="W45" s="572"/>
      <c r="X45" s="406"/>
      <c r="Y45" s="406"/>
      <c r="Z45" s="406"/>
      <c r="AA45" s="423"/>
      <c r="AB45" s="406"/>
      <c r="AC45" s="21"/>
      <c r="AD45" s="578"/>
      <c r="AE45" s="25"/>
      <c r="AF45" s="406"/>
      <c r="AG45" s="406"/>
      <c r="AH45" s="406"/>
      <c r="AI45" s="406"/>
      <c r="AJ45" s="406"/>
      <c r="AK45" s="21"/>
      <c r="AL45" s="20"/>
      <c r="AM45" s="25"/>
      <c r="AN45" s="406"/>
      <c r="AO45" s="406"/>
      <c r="AP45" s="406"/>
      <c r="AQ45" s="406"/>
      <c r="AR45" s="406"/>
      <c r="AS45" s="21"/>
      <c r="AT45" s="20"/>
      <c r="AU45" s="25"/>
      <c r="AV45" s="406"/>
      <c r="AW45" s="406"/>
      <c r="AX45" s="406"/>
      <c r="AY45" s="406"/>
      <c r="AZ45" s="406"/>
      <c r="BA45" s="21"/>
      <c r="BB45" s="20"/>
      <c r="BC45" s="25"/>
      <c r="BD45" s="406"/>
      <c r="BE45" s="406"/>
      <c r="BF45" s="406"/>
      <c r="BG45" s="406"/>
      <c r="BH45" s="406"/>
      <c r="BI45" s="21"/>
      <c r="BJ45" s="20"/>
      <c r="BK45" s="25"/>
      <c r="BL45" s="406"/>
      <c r="BM45" s="406"/>
      <c r="BN45" s="406"/>
      <c r="BO45" s="406"/>
      <c r="BP45" s="406"/>
      <c r="BQ45" s="21"/>
      <c r="BR45" s="20"/>
      <c r="BS45" s="25"/>
      <c r="BT45" s="406"/>
      <c r="BU45" s="406"/>
      <c r="BV45" s="406"/>
      <c r="BW45" s="406"/>
      <c r="BX45" s="406"/>
      <c r="BY45" s="21"/>
      <c r="BZ45" s="20"/>
      <c r="CA45" s="25"/>
      <c r="CB45" s="406"/>
      <c r="CC45" s="406"/>
    </row>
    <row r="46" spans="1:81" x14ac:dyDescent="0.25">
      <c r="B46" s="5"/>
      <c r="C46" s="20"/>
      <c r="D46" s="20"/>
      <c r="E46" s="730"/>
      <c r="F46" s="20"/>
      <c r="G46" s="572"/>
      <c r="H46" s="406"/>
      <c r="I46" s="406"/>
      <c r="J46" s="406"/>
      <c r="K46" s="406"/>
      <c r="L46" s="406"/>
      <c r="M46" s="21"/>
      <c r="N46" s="20"/>
      <c r="O46" s="572"/>
      <c r="P46" s="406"/>
      <c r="Q46" s="406"/>
      <c r="R46" s="406"/>
      <c r="S46" s="406"/>
      <c r="T46" s="406"/>
      <c r="U46" s="21"/>
      <c r="V46" s="578"/>
      <c r="W46" s="572"/>
      <c r="X46" s="406"/>
      <c r="Y46" s="406"/>
      <c r="Z46" s="406"/>
      <c r="AA46" s="470"/>
      <c r="AB46" s="406"/>
      <c r="AC46" s="21"/>
      <c r="AD46" s="578"/>
      <c r="AE46" s="25"/>
      <c r="AF46" s="406"/>
      <c r="AG46" s="406"/>
      <c r="AH46" s="406"/>
      <c r="AI46" s="406"/>
      <c r="AJ46" s="406"/>
      <c r="AK46" s="21"/>
      <c r="AL46" s="20"/>
      <c r="AM46" s="25"/>
      <c r="AN46" s="406"/>
      <c r="AO46" s="406"/>
      <c r="AP46" s="406"/>
      <c r="AQ46" s="406"/>
      <c r="AR46" s="406"/>
      <c r="AS46" s="21"/>
      <c r="AT46" s="20"/>
      <c r="AU46" s="25"/>
      <c r="AV46" s="406"/>
      <c r="AW46" s="406"/>
      <c r="AX46" s="406"/>
      <c r="AY46" s="406"/>
      <c r="AZ46" s="406"/>
      <c r="BA46" s="21"/>
      <c r="BB46" s="20"/>
      <c r="BC46" s="25"/>
      <c r="BD46" s="20"/>
      <c r="BE46" s="20"/>
      <c r="BF46" s="20"/>
      <c r="BG46" s="20"/>
      <c r="BH46" s="20"/>
      <c r="BI46" s="21"/>
      <c r="BJ46" s="20"/>
      <c r="BK46" s="25"/>
      <c r="BL46" s="20"/>
      <c r="BM46" s="20"/>
      <c r="BN46" s="20"/>
      <c r="BO46" s="20"/>
      <c r="BP46" s="20"/>
      <c r="BQ46" s="21"/>
      <c r="BR46" s="20"/>
      <c r="BS46" s="25"/>
      <c r="BT46" s="20"/>
      <c r="BU46" s="20"/>
      <c r="BV46" s="20"/>
      <c r="BW46" s="20"/>
      <c r="BX46" s="20"/>
      <c r="BY46" s="21"/>
      <c r="BZ46" s="20"/>
      <c r="CA46" s="84"/>
      <c r="CB46" s="39"/>
      <c r="CC46" s="40"/>
    </row>
    <row r="47" spans="1:81" s="14" customFormat="1" x14ac:dyDescent="0.25">
      <c r="A47" s="4" t="s">
        <v>221</v>
      </c>
      <c r="B47" s="16" t="s">
        <v>25</v>
      </c>
      <c r="C47" s="20"/>
      <c r="D47" s="20"/>
      <c r="E47" s="730">
        <v>540684.05299999996</v>
      </c>
      <c r="F47" s="20"/>
      <c r="G47" s="572">
        <v>573882.79700000002</v>
      </c>
      <c r="H47" s="406"/>
      <c r="I47" s="406">
        <v>580491.29700000002</v>
      </c>
      <c r="J47" s="406"/>
      <c r="K47" s="406">
        <v>586199.31000000006</v>
      </c>
      <c r="L47" s="406"/>
      <c r="M47" s="21">
        <v>579394.54599999997</v>
      </c>
      <c r="N47" s="20"/>
      <c r="O47" s="572">
        <v>519751</v>
      </c>
      <c r="P47" s="406"/>
      <c r="Q47" s="406">
        <v>537977</v>
      </c>
      <c r="R47" s="406"/>
      <c r="S47" s="406">
        <v>555550</v>
      </c>
      <c r="T47" s="406"/>
      <c r="U47" s="406">
        <v>563903</v>
      </c>
      <c r="V47" s="578"/>
      <c r="W47" s="572">
        <v>610357</v>
      </c>
      <c r="X47" s="406"/>
      <c r="Y47" s="406">
        <v>599942</v>
      </c>
      <c r="Z47" s="406"/>
      <c r="AA47" s="423">
        <v>579138.76899999997</v>
      </c>
      <c r="AB47" s="406"/>
      <c r="AC47" s="21">
        <v>539389.24699999997</v>
      </c>
      <c r="AD47" s="578"/>
      <c r="AE47" s="25">
        <v>502565</v>
      </c>
      <c r="AF47" s="406">
        <v>536292</v>
      </c>
      <c r="AG47" s="406"/>
      <c r="AH47" s="406"/>
      <c r="AI47" s="406">
        <v>564310</v>
      </c>
      <c r="AJ47" s="406"/>
      <c r="AK47" s="21">
        <v>594660</v>
      </c>
      <c r="AL47" s="20"/>
      <c r="AM47" s="25">
        <v>494020</v>
      </c>
      <c r="AN47" s="406">
        <v>498211</v>
      </c>
      <c r="AO47" s="406"/>
      <c r="AP47" s="406">
        <v>490964</v>
      </c>
      <c r="AQ47" s="406"/>
      <c r="AR47" s="406">
        <v>499623</v>
      </c>
      <c r="AS47" s="21"/>
      <c r="AT47" s="20"/>
      <c r="AU47" s="25">
        <v>505019</v>
      </c>
      <c r="AV47" s="406">
        <v>507808</v>
      </c>
      <c r="AW47" s="406"/>
      <c r="AX47" s="406">
        <v>510639</v>
      </c>
      <c r="AY47" s="406"/>
      <c r="AZ47" s="406">
        <v>499902</v>
      </c>
      <c r="BA47" s="21"/>
      <c r="BB47" s="20"/>
      <c r="BC47" s="25">
        <v>501077</v>
      </c>
      <c r="BD47" s="20">
        <v>505133</v>
      </c>
      <c r="BE47" s="20"/>
      <c r="BF47" s="20">
        <v>510701</v>
      </c>
      <c r="BG47" s="20"/>
      <c r="BH47" s="20">
        <v>502359</v>
      </c>
      <c r="BI47" s="21"/>
      <c r="BJ47" s="20"/>
      <c r="BK47" s="25">
        <v>476282</v>
      </c>
      <c r="BL47" s="20">
        <v>472411</v>
      </c>
      <c r="BM47" s="20"/>
      <c r="BN47" s="20">
        <v>472231</v>
      </c>
      <c r="BO47" s="20"/>
      <c r="BP47" s="20">
        <v>470782</v>
      </c>
      <c r="BQ47" s="21"/>
      <c r="BR47" s="20"/>
      <c r="BS47" s="25">
        <v>431953</v>
      </c>
      <c r="BT47" s="20">
        <v>437945</v>
      </c>
      <c r="BU47" s="20"/>
      <c r="BV47" s="20">
        <v>448726</v>
      </c>
      <c r="BW47" s="20"/>
      <c r="BX47" s="20">
        <v>474741</v>
      </c>
      <c r="BY47" s="21"/>
      <c r="BZ47" s="20"/>
      <c r="CA47" s="84">
        <v>442051</v>
      </c>
      <c r="CB47" s="39">
        <v>452081</v>
      </c>
      <c r="CC47" s="40"/>
    </row>
    <row r="48" spans="1:81" s="14" customFormat="1" ht="7.5" customHeight="1" x14ac:dyDescent="0.25">
      <c r="A48" s="4"/>
      <c r="B48" s="16"/>
      <c r="C48" s="20"/>
      <c r="D48" s="20"/>
      <c r="E48" s="730"/>
      <c r="F48" s="20"/>
      <c r="G48" s="572"/>
      <c r="H48" s="406"/>
      <c r="I48" s="406"/>
      <c r="J48" s="406"/>
      <c r="K48" s="406"/>
      <c r="L48" s="406"/>
      <c r="M48" s="21"/>
      <c r="N48" s="20"/>
      <c r="O48" s="572"/>
      <c r="P48" s="406"/>
      <c r="Q48" s="406"/>
      <c r="R48" s="406"/>
      <c r="S48" s="406"/>
      <c r="T48" s="406"/>
      <c r="U48" s="406"/>
      <c r="V48" s="578"/>
      <c r="W48" s="572"/>
      <c r="X48" s="406"/>
      <c r="Y48" s="406"/>
      <c r="Z48" s="406"/>
      <c r="AA48" s="423"/>
      <c r="AB48" s="406"/>
      <c r="AC48" s="21"/>
      <c r="AD48" s="578"/>
      <c r="AE48" s="25"/>
      <c r="AF48" s="406"/>
      <c r="AG48" s="406"/>
      <c r="AH48" s="406"/>
      <c r="AI48" s="406"/>
      <c r="AJ48" s="406"/>
      <c r="AK48" s="21"/>
      <c r="AL48" s="20"/>
      <c r="AM48" s="25"/>
      <c r="AN48" s="406"/>
      <c r="AO48" s="406"/>
      <c r="AP48" s="406"/>
      <c r="AQ48" s="406"/>
      <c r="AR48" s="406"/>
      <c r="AS48" s="21"/>
      <c r="AT48" s="20"/>
      <c r="AU48" s="25"/>
      <c r="AV48" s="406"/>
      <c r="AW48" s="406"/>
      <c r="AX48" s="406"/>
      <c r="AY48" s="406"/>
      <c r="AZ48" s="406"/>
      <c r="BA48" s="21"/>
      <c r="BB48" s="20"/>
      <c r="BC48" s="25"/>
      <c r="BD48" s="20"/>
      <c r="BE48" s="20"/>
      <c r="BF48" s="20"/>
      <c r="BG48" s="20"/>
      <c r="BH48" s="20"/>
      <c r="BI48" s="21"/>
      <c r="BJ48" s="20"/>
      <c r="BK48" s="25"/>
      <c r="BL48" s="20"/>
      <c r="BM48" s="20"/>
      <c r="BN48" s="20"/>
      <c r="BO48" s="20"/>
      <c r="BP48" s="20"/>
      <c r="BQ48" s="21"/>
      <c r="BR48" s="20"/>
      <c r="BS48" s="25"/>
      <c r="BT48" s="20"/>
      <c r="BU48" s="20"/>
      <c r="BV48" s="20"/>
      <c r="BW48" s="20"/>
      <c r="BX48" s="20"/>
      <c r="BY48" s="21"/>
      <c r="BZ48" s="20"/>
      <c r="CA48" s="84"/>
      <c r="CB48" s="39"/>
      <c r="CC48" s="40"/>
    </row>
    <row r="49" spans="1:81" ht="15" customHeight="1" outlineLevel="1" x14ac:dyDescent="0.25">
      <c r="A49" s="4" t="s">
        <v>222</v>
      </c>
      <c r="B49" s="42" t="s">
        <v>26</v>
      </c>
      <c r="C49" s="28"/>
      <c r="D49" s="28"/>
      <c r="E49" s="745">
        <v>118257.015</v>
      </c>
      <c r="F49" s="28"/>
      <c r="G49" s="573">
        <v>145996.79200000002</v>
      </c>
      <c r="H49" s="408"/>
      <c r="I49" s="408">
        <v>165961.24900000001</v>
      </c>
      <c r="J49" s="408"/>
      <c r="K49" s="408">
        <v>164514.72899999999</v>
      </c>
      <c r="L49" s="408"/>
      <c r="M49" s="29">
        <v>141667.87599999999</v>
      </c>
      <c r="N49" s="28"/>
      <c r="O49" s="573">
        <v>129739</v>
      </c>
      <c r="P49" s="408"/>
      <c r="Q49" s="408">
        <v>121808</v>
      </c>
      <c r="R49" s="408"/>
      <c r="S49" s="408">
        <v>125388</v>
      </c>
      <c r="T49" s="408"/>
      <c r="U49" s="408">
        <v>132259</v>
      </c>
      <c r="V49" s="580"/>
      <c r="W49" s="573">
        <v>216054</v>
      </c>
      <c r="X49" s="408"/>
      <c r="Y49" s="408">
        <v>212831</v>
      </c>
      <c r="Z49" s="408"/>
      <c r="AA49" s="423">
        <v>197222.98699999999</v>
      </c>
      <c r="AB49" s="408"/>
      <c r="AC49" s="29">
        <v>145672.40599999999</v>
      </c>
      <c r="AD49" s="580"/>
      <c r="AE49" s="27">
        <v>171147</v>
      </c>
      <c r="AF49" s="408">
        <v>175699</v>
      </c>
      <c r="AG49" s="408"/>
      <c r="AH49" s="408"/>
      <c r="AI49" s="408">
        <v>179848</v>
      </c>
      <c r="AJ49" s="408"/>
      <c r="AK49" s="29">
        <v>192426</v>
      </c>
      <c r="AL49" s="28"/>
      <c r="AM49" s="27">
        <v>140839</v>
      </c>
      <c r="AN49" s="408">
        <v>131305</v>
      </c>
      <c r="AO49" s="408"/>
      <c r="AP49" s="408">
        <v>180482</v>
      </c>
      <c r="AQ49" s="408"/>
      <c r="AR49" s="408">
        <v>164994</v>
      </c>
      <c r="AS49" s="29"/>
      <c r="AT49" s="28"/>
      <c r="AU49" s="27">
        <v>184074</v>
      </c>
      <c r="AV49" s="408">
        <v>178457</v>
      </c>
      <c r="AW49" s="408"/>
      <c r="AX49" s="408">
        <v>170906</v>
      </c>
      <c r="AY49" s="408"/>
      <c r="AZ49" s="408">
        <v>154365</v>
      </c>
      <c r="BA49" s="29"/>
      <c r="BB49" s="28"/>
      <c r="BC49" s="27">
        <v>202460</v>
      </c>
      <c r="BD49" s="28">
        <v>198765</v>
      </c>
      <c r="BE49" s="28"/>
      <c r="BF49" s="28">
        <v>197130</v>
      </c>
      <c r="BG49" s="28"/>
      <c r="BH49" s="28">
        <v>185585</v>
      </c>
      <c r="BI49" s="29"/>
      <c r="BJ49" s="28"/>
      <c r="BK49" s="27">
        <v>203497</v>
      </c>
      <c r="BL49" s="28">
        <v>203420</v>
      </c>
      <c r="BM49" s="28"/>
      <c r="BN49" s="28">
        <v>204397</v>
      </c>
      <c r="BO49" s="28"/>
      <c r="BP49" s="28">
        <v>203862</v>
      </c>
      <c r="BQ49" s="29"/>
      <c r="BR49" s="28"/>
      <c r="BS49" s="27">
        <v>171941</v>
      </c>
      <c r="BT49" s="28">
        <v>175337</v>
      </c>
      <c r="BU49" s="28"/>
      <c r="BV49" s="28">
        <v>185800</v>
      </c>
      <c r="BW49" s="28"/>
      <c r="BX49" s="28">
        <v>199568</v>
      </c>
      <c r="BY49" s="29"/>
      <c r="BZ49" s="28"/>
      <c r="CA49" s="85">
        <v>178081</v>
      </c>
      <c r="CB49" s="38">
        <v>174728</v>
      </c>
      <c r="CC49" s="86"/>
    </row>
    <row r="50" spans="1:81" s="286" customFormat="1" ht="15" customHeight="1" outlineLevel="1" x14ac:dyDescent="0.4">
      <c r="A50" s="4"/>
      <c r="B50" s="5" t="s">
        <v>28</v>
      </c>
      <c r="C50" s="161"/>
      <c r="D50" s="161"/>
      <c r="E50" s="746">
        <v>139204.08600000001</v>
      </c>
      <c r="F50" s="161"/>
      <c r="G50" s="574">
        <v>172216.51</v>
      </c>
      <c r="H50" s="409"/>
      <c r="I50" s="409">
        <v>153386.93199999997</v>
      </c>
      <c r="J50" s="409"/>
      <c r="K50" s="409">
        <v>150436.147</v>
      </c>
      <c r="L50" s="409"/>
      <c r="M50" s="162">
        <v>156183.78399999999</v>
      </c>
      <c r="N50" s="161"/>
      <c r="O50" s="574">
        <f>O51-O49</f>
        <v>154080</v>
      </c>
      <c r="P50" s="409"/>
      <c r="Q50" s="409">
        <v>174603</v>
      </c>
      <c r="R50" s="409"/>
      <c r="S50" s="409">
        <v>178273</v>
      </c>
      <c r="T50" s="409"/>
      <c r="U50" s="409">
        <v>177305</v>
      </c>
      <c r="V50" s="581"/>
      <c r="W50" s="574">
        <v>176725</v>
      </c>
      <c r="X50" s="409"/>
      <c r="Y50" s="409">
        <v>165389</v>
      </c>
      <c r="Z50" s="409"/>
      <c r="AA50" s="428">
        <f>AA51-AA49</f>
        <v>154344.46900000001</v>
      </c>
      <c r="AB50" s="409"/>
      <c r="AC50" s="162">
        <v>159182.96700000003</v>
      </c>
      <c r="AD50" s="581"/>
      <c r="AE50" s="160">
        <v>136957</v>
      </c>
      <c r="AF50" s="409">
        <v>158509</v>
      </c>
      <c r="AG50" s="409"/>
      <c r="AH50" s="409"/>
      <c r="AI50" s="409">
        <v>176367</v>
      </c>
      <c r="AJ50" s="409"/>
      <c r="AK50" s="162">
        <v>187108</v>
      </c>
      <c r="AL50" s="161"/>
      <c r="AM50" s="160">
        <v>126073</v>
      </c>
      <c r="AN50" s="409">
        <v>132899</v>
      </c>
      <c r="AO50" s="409"/>
      <c r="AP50" s="409">
        <v>125504</v>
      </c>
      <c r="AQ50" s="409"/>
      <c r="AR50" s="409">
        <v>143256</v>
      </c>
      <c r="AS50" s="162"/>
      <c r="AT50" s="161"/>
      <c r="AU50" s="160">
        <v>108238</v>
      </c>
      <c r="AV50" s="409">
        <v>116451</v>
      </c>
      <c r="AW50" s="409"/>
      <c r="AX50" s="409">
        <v>122683</v>
      </c>
      <c r="AY50" s="409"/>
      <c r="AZ50" s="409">
        <v>121203</v>
      </c>
      <c r="BA50" s="162"/>
      <c r="BB50" s="161"/>
      <c r="BC50" s="160">
        <v>94235</v>
      </c>
      <c r="BD50" s="161">
        <v>101739</v>
      </c>
      <c r="BE50" s="161"/>
      <c r="BF50" s="161">
        <v>107176</v>
      </c>
      <c r="BG50" s="161"/>
      <c r="BH50" s="161">
        <v>106890</v>
      </c>
      <c r="BI50" s="162"/>
      <c r="BJ50" s="161"/>
      <c r="BK50" s="160">
        <v>59386</v>
      </c>
      <c r="BL50" s="161">
        <v>58066</v>
      </c>
      <c r="BM50" s="161"/>
      <c r="BN50" s="161">
        <v>60004</v>
      </c>
      <c r="BO50" s="161"/>
      <c r="BP50" s="161">
        <v>61227</v>
      </c>
      <c r="BQ50" s="162"/>
      <c r="BR50" s="161"/>
      <c r="BS50" s="160">
        <v>44499</v>
      </c>
      <c r="BT50" s="161">
        <v>51299</v>
      </c>
      <c r="BU50" s="161"/>
      <c r="BV50" s="161">
        <v>53466</v>
      </c>
      <c r="BW50" s="161"/>
      <c r="BX50" s="161">
        <v>59600</v>
      </c>
      <c r="BY50" s="162"/>
      <c r="BZ50" s="161"/>
      <c r="CA50" s="198">
        <v>34541</v>
      </c>
      <c r="CB50" s="192">
        <v>54675</v>
      </c>
      <c r="CC50" s="193"/>
    </row>
    <row r="51" spans="1:81" s="14" customFormat="1" x14ac:dyDescent="0.25">
      <c r="A51" s="4" t="s">
        <v>223</v>
      </c>
      <c r="B51" s="16" t="s">
        <v>29</v>
      </c>
      <c r="C51" s="20"/>
      <c r="D51" s="20"/>
      <c r="E51" s="730">
        <v>257461.101</v>
      </c>
      <c r="F51" s="20"/>
      <c r="G51" s="572">
        <v>318213.30200000003</v>
      </c>
      <c r="H51" s="406"/>
      <c r="I51" s="406">
        <v>319348.18099999998</v>
      </c>
      <c r="J51" s="406"/>
      <c r="K51" s="406">
        <v>314950.87599999999</v>
      </c>
      <c r="L51" s="406"/>
      <c r="M51" s="21">
        <v>297851.65999999997</v>
      </c>
      <c r="N51" s="20"/>
      <c r="O51" s="572">
        <v>283819</v>
      </c>
      <c r="P51" s="406"/>
      <c r="Q51" s="406">
        <f>SUM(Q49:Q50)</f>
        <v>296411</v>
      </c>
      <c r="R51" s="406"/>
      <c r="S51" s="406">
        <f>SUM(S49:S50)</f>
        <v>303661</v>
      </c>
      <c r="T51" s="406"/>
      <c r="U51" s="406">
        <f>SUM(U49:U50)</f>
        <v>309564</v>
      </c>
      <c r="V51" s="578"/>
      <c r="W51" s="572">
        <v>392779</v>
      </c>
      <c r="X51" s="406"/>
      <c r="Y51" s="406">
        <v>378220</v>
      </c>
      <c r="Z51" s="406"/>
      <c r="AA51" s="423">
        <v>351567.45600000001</v>
      </c>
      <c r="AB51" s="406"/>
      <c r="AC51" s="21">
        <v>304855.37300000002</v>
      </c>
      <c r="AD51" s="578"/>
      <c r="AE51" s="25">
        <v>308104</v>
      </c>
      <c r="AF51" s="406">
        <v>334208</v>
      </c>
      <c r="AG51" s="406"/>
      <c r="AH51" s="406"/>
      <c r="AI51" s="406">
        <v>356215</v>
      </c>
      <c r="AJ51" s="406"/>
      <c r="AK51" s="21">
        <v>379534</v>
      </c>
      <c r="AL51" s="20"/>
      <c r="AM51" s="25">
        <v>266912</v>
      </c>
      <c r="AN51" s="406">
        <v>264204</v>
      </c>
      <c r="AO51" s="406"/>
      <c r="AP51" s="406">
        <v>305986</v>
      </c>
      <c r="AQ51" s="406"/>
      <c r="AR51" s="406">
        <v>308250</v>
      </c>
      <c r="AS51" s="21"/>
      <c r="AT51" s="20"/>
      <c r="AU51" s="25">
        <v>292312</v>
      </c>
      <c r="AV51" s="406">
        <v>294908</v>
      </c>
      <c r="AW51" s="406"/>
      <c r="AX51" s="406">
        <v>293589</v>
      </c>
      <c r="AY51" s="406"/>
      <c r="AZ51" s="406">
        <v>275568</v>
      </c>
      <c r="BA51" s="21"/>
      <c r="BB51" s="20"/>
      <c r="BC51" s="25">
        <v>296695</v>
      </c>
      <c r="BD51" s="20">
        <v>300504</v>
      </c>
      <c r="BE51" s="20"/>
      <c r="BF51" s="20">
        <v>304306</v>
      </c>
      <c r="BG51" s="20"/>
      <c r="BH51" s="20">
        <v>292475</v>
      </c>
      <c r="BI51" s="21"/>
      <c r="BJ51" s="20"/>
      <c r="BK51" s="25">
        <v>262883</v>
      </c>
      <c r="BL51" s="20">
        <v>261486</v>
      </c>
      <c r="BM51" s="20"/>
      <c r="BN51" s="20">
        <v>264401</v>
      </c>
      <c r="BO51" s="20"/>
      <c r="BP51" s="20">
        <v>265089</v>
      </c>
      <c r="BQ51" s="21"/>
      <c r="BR51" s="20"/>
      <c r="BS51" s="25">
        <v>216440</v>
      </c>
      <c r="BT51" s="20">
        <v>226636</v>
      </c>
      <c r="BU51" s="20"/>
      <c r="BV51" s="20">
        <v>239266</v>
      </c>
      <c r="BW51" s="20"/>
      <c r="BX51" s="20">
        <v>259168</v>
      </c>
      <c r="BY51" s="21"/>
      <c r="BZ51" s="20"/>
      <c r="CA51" s="84">
        <v>212622</v>
      </c>
      <c r="CB51" s="39">
        <v>229403</v>
      </c>
      <c r="CC51" s="40"/>
    </row>
    <row r="52" spans="1:81" s="14" customFormat="1" ht="8.25" customHeight="1" x14ac:dyDescent="0.25">
      <c r="A52" s="4"/>
      <c r="B52" s="16"/>
      <c r="C52" s="20"/>
      <c r="D52" s="20"/>
      <c r="E52" s="730"/>
      <c r="F52" s="20"/>
      <c r="G52" s="572"/>
      <c r="H52" s="406"/>
      <c r="I52" s="406"/>
      <c r="J52" s="406"/>
      <c r="K52" s="406"/>
      <c r="L52" s="406"/>
      <c r="M52" s="21"/>
      <c r="N52" s="20"/>
      <c r="O52" s="572"/>
      <c r="P52" s="406"/>
      <c r="Q52" s="406"/>
      <c r="R52" s="406"/>
      <c r="S52" s="406"/>
      <c r="T52" s="406"/>
      <c r="U52" s="406"/>
      <c r="V52" s="578"/>
      <c r="W52" s="572"/>
      <c r="X52" s="406"/>
      <c r="Y52" s="406"/>
      <c r="Z52" s="406"/>
      <c r="AA52" s="423"/>
      <c r="AB52" s="406"/>
      <c r="AC52" s="21"/>
      <c r="AD52" s="578"/>
      <c r="AE52" s="25"/>
      <c r="AF52" s="406"/>
      <c r="AG52" s="406"/>
      <c r="AH52" s="406"/>
      <c r="AI52" s="406"/>
      <c r="AJ52" s="406"/>
      <c r="AK52" s="21"/>
      <c r="AL52" s="20"/>
      <c r="AM52" s="25"/>
      <c r="AN52" s="406"/>
      <c r="AO52" s="406"/>
      <c r="AP52" s="406"/>
      <c r="AQ52" s="406"/>
      <c r="AR52" s="406"/>
      <c r="AS52" s="21"/>
      <c r="AT52" s="20"/>
      <c r="AU52" s="25"/>
      <c r="AV52" s="406"/>
      <c r="AW52" s="406"/>
      <c r="AX52" s="406"/>
      <c r="AY52" s="406"/>
      <c r="AZ52" s="406"/>
      <c r="BA52" s="21"/>
      <c r="BB52" s="20"/>
      <c r="BC52" s="25"/>
      <c r="BD52" s="20"/>
      <c r="BE52" s="20"/>
      <c r="BF52" s="20"/>
      <c r="BG52" s="20"/>
      <c r="BH52" s="20"/>
      <c r="BI52" s="21"/>
      <c r="BJ52" s="20"/>
      <c r="BK52" s="25"/>
      <c r="BL52" s="20"/>
      <c r="BM52" s="20"/>
      <c r="BN52" s="20"/>
      <c r="BO52" s="20"/>
      <c r="BP52" s="20"/>
      <c r="BQ52" s="21"/>
      <c r="BR52" s="20"/>
      <c r="BS52" s="25"/>
      <c r="BT52" s="20"/>
      <c r="BU52" s="20"/>
      <c r="BV52" s="20"/>
      <c r="BW52" s="20"/>
      <c r="BX52" s="20"/>
      <c r="BY52" s="21"/>
      <c r="BZ52" s="20"/>
      <c r="CA52" s="84"/>
      <c r="CB52" s="39"/>
      <c r="CC52" s="40"/>
    </row>
    <row r="53" spans="1:81" s="14" customFormat="1" x14ac:dyDescent="0.25">
      <c r="A53" s="4" t="s">
        <v>224</v>
      </c>
      <c r="B53" s="16" t="s">
        <v>36</v>
      </c>
      <c r="C53" s="20"/>
      <c r="D53" s="20"/>
      <c r="E53" s="730">
        <v>283222.95207000006</v>
      </c>
      <c r="F53" s="20"/>
      <c r="G53" s="572">
        <v>255669.49607000005</v>
      </c>
      <c r="H53" s="406"/>
      <c r="I53" s="406">
        <v>261143.11607000005</v>
      </c>
      <c r="J53" s="406"/>
      <c r="K53" s="406">
        <v>271248.43407000008</v>
      </c>
      <c r="L53" s="406"/>
      <c r="M53" s="21">
        <v>281542.88607000007</v>
      </c>
      <c r="N53" s="20"/>
      <c r="O53" s="572">
        <v>235932</v>
      </c>
      <c r="P53" s="406"/>
      <c r="Q53" s="406">
        <v>241566</v>
      </c>
      <c r="R53" s="406"/>
      <c r="S53" s="406">
        <v>251889</v>
      </c>
      <c r="T53" s="406"/>
      <c r="U53" s="406">
        <v>254339</v>
      </c>
      <c r="V53" s="578"/>
      <c r="W53" s="572">
        <v>217578</v>
      </c>
      <c r="X53" s="406"/>
      <c r="Y53" s="406">
        <v>221722</v>
      </c>
      <c r="Z53" s="406"/>
      <c r="AA53" s="423">
        <v>227571.31107000005</v>
      </c>
      <c r="AB53" s="406"/>
      <c r="AC53" s="21">
        <v>234533.87607</v>
      </c>
      <c r="AD53" s="578"/>
      <c r="AE53" s="25">
        <v>194461</v>
      </c>
      <c r="AF53" s="406">
        <v>202084</v>
      </c>
      <c r="AG53" s="406"/>
      <c r="AH53" s="406"/>
      <c r="AI53" s="406">
        <v>208095</v>
      </c>
      <c r="AJ53" s="406"/>
      <c r="AK53" s="21">
        <v>215126</v>
      </c>
      <c r="AL53" s="20"/>
      <c r="AM53" s="25">
        <v>227108</v>
      </c>
      <c r="AN53" s="406">
        <v>234007</v>
      </c>
      <c r="AO53" s="406"/>
      <c r="AP53" s="406">
        <v>184978</v>
      </c>
      <c r="AQ53" s="406"/>
      <c r="AR53" s="406">
        <v>191373</v>
      </c>
      <c r="AS53" s="21"/>
      <c r="AT53" s="20"/>
      <c r="AU53" s="25">
        <v>212707</v>
      </c>
      <c r="AV53" s="406">
        <v>212900</v>
      </c>
      <c r="AW53" s="406"/>
      <c r="AX53" s="406">
        <v>217050</v>
      </c>
      <c r="AY53" s="406"/>
      <c r="AZ53" s="406">
        <v>224334</v>
      </c>
      <c r="BA53" s="21"/>
      <c r="BB53" s="20"/>
      <c r="BC53" s="25">
        <v>204382</v>
      </c>
      <c r="BD53" s="20">
        <v>204629</v>
      </c>
      <c r="BE53" s="20"/>
      <c r="BF53" s="20">
        <v>206395</v>
      </c>
      <c r="BG53" s="20"/>
      <c r="BH53" s="20">
        <v>209884</v>
      </c>
      <c r="BI53" s="21"/>
      <c r="BJ53" s="20"/>
      <c r="BK53" s="25">
        <v>213399</v>
      </c>
      <c r="BL53" s="20">
        <v>210925</v>
      </c>
      <c r="BM53" s="20"/>
      <c r="BN53" s="20">
        <v>207830</v>
      </c>
      <c r="BO53" s="20"/>
      <c r="BP53" s="20">
        <v>205693</v>
      </c>
      <c r="BQ53" s="21"/>
      <c r="BR53" s="20"/>
      <c r="BS53" s="25">
        <v>215513</v>
      </c>
      <c r="BT53" s="20">
        <v>211309</v>
      </c>
      <c r="BU53" s="20"/>
      <c r="BV53" s="20">
        <v>209460</v>
      </c>
      <c r="BW53" s="20"/>
      <c r="BX53" s="20">
        <v>215573</v>
      </c>
      <c r="BY53" s="21"/>
      <c r="BZ53" s="20"/>
      <c r="CA53" s="84">
        <v>229429</v>
      </c>
      <c r="CB53" s="39">
        <v>222678</v>
      </c>
      <c r="CC53" s="40"/>
    </row>
    <row r="54" spans="1:81" ht="7.5" customHeight="1" x14ac:dyDescent="0.25">
      <c r="B54" s="5"/>
      <c r="C54" s="20"/>
      <c r="D54" s="20"/>
      <c r="E54" s="747"/>
      <c r="F54" s="20"/>
      <c r="G54" s="575"/>
      <c r="H54" s="406"/>
      <c r="I54" s="406"/>
      <c r="J54" s="406"/>
      <c r="K54" s="406"/>
      <c r="L54" s="406"/>
      <c r="M54" s="21"/>
      <c r="N54" s="20"/>
      <c r="O54" s="575"/>
      <c r="P54" s="406"/>
      <c r="Q54" s="406"/>
      <c r="R54" s="406"/>
      <c r="S54" s="406"/>
      <c r="T54" s="406"/>
      <c r="U54" s="406"/>
      <c r="V54" s="578"/>
      <c r="W54" s="575"/>
      <c r="X54" s="406"/>
      <c r="Y54" s="406"/>
      <c r="Z54" s="406"/>
      <c r="AA54" s="445"/>
      <c r="AB54" s="406"/>
      <c r="AC54" s="21"/>
      <c r="AD54" s="578"/>
      <c r="AE54" s="25"/>
      <c r="AF54" s="406"/>
      <c r="AG54" s="406"/>
      <c r="AH54" s="406"/>
      <c r="AI54" s="406"/>
      <c r="AJ54" s="406"/>
      <c r="AK54" s="21"/>
      <c r="AL54" s="20"/>
      <c r="AM54" s="25"/>
      <c r="AN54" s="406"/>
      <c r="AO54" s="406"/>
      <c r="AP54" s="406"/>
      <c r="AQ54" s="406"/>
      <c r="AR54" s="406"/>
      <c r="AS54" s="21"/>
      <c r="AT54" s="20"/>
      <c r="AU54" s="25"/>
      <c r="AV54" s="406"/>
      <c r="AW54" s="406"/>
      <c r="AX54" s="406"/>
      <c r="AY54" s="406"/>
      <c r="AZ54" s="406"/>
      <c r="BA54" s="21"/>
      <c r="BB54" s="20"/>
      <c r="BC54" s="25"/>
      <c r="BD54" s="20"/>
      <c r="BE54" s="20"/>
      <c r="BF54" s="20"/>
      <c r="BG54" s="20"/>
      <c r="BH54" s="20"/>
      <c r="BI54" s="21"/>
      <c r="BJ54" s="20"/>
      <c r="BK54" s="25"/>
      <c r="BL54" s="20"/>
      <c r="BM54" s="20"/>
      <c r="BN54" s="20"/>
      <c r="BO54" s="20"/>
      <c r="BP54" s="20"/>
      <c r="BQ54" s="21"/>
      <c r="BR54" s="20"/>
      <c r="BS54" s="25"/>
      <c r="BT54" s="20"/>
      <c r="BU54" s="20"/>
      <c r="BV54" s="20"/>
      <c r="BW54" s="20"/>
      <c r="BX54" s="20"/>
      <c r="BY54" s="21"/>
      <c r="BZ54" s="20"/>
      <c r="CA54" s="84"/>
      <c r="CB54" s="39"/>
      <c r="CC54" s="40"/>
    </row>
    <row r="55" spans="1:81" s="14" customFormat="1" x14ac:dyDescent="0.25">
      <c r="A55" s="4" t="s">
        <v>231</v>
      </c>
      <c r="B55" s="16" t="s">
        <v>66</v>
      </c>
      <c r="C55" s="20"/>
      <c r="D55" s="20"/>
      <c r="E55" s="732">
        <v>514</v>
      </c>
      <c r="F55" s="20"/>
      <c r="G55" s="639">
        <v>966</v>
      </c>
      <c r="H55" s="653">
        <f>I55-G55</f>
        <v>1358</v>
      </c>
      <c r="I55" s="532">
        <v>2324</v>
      </c>
      <c r="J55" s="653">
        <f>K55-I55</f>
        <v>1708</v>
      </c>
      <c r="K55" s="532">
        <v>4032</v>
      </c>
      <c r="L55" s="653">
        <f>M55-K55</f>
        <v>1122</v>
      </c>
      <c r="M55" s="640">
        <v>5154</v>
      </c>
      <c r="N55" s="20"/>
      <c r="O55" s="575">
        <v>569</v>
      </c>
      <c r="P55" s="406">
        <v>294</v>
      </c>
      <c r="Q55" s="406">
        <v>863</v>
      </c>
      <c r="R55" s="406">
        <v>412</v>
      </c>
      <c r="S55" s="406">
        <v>1275</v>
      </c>
      <c r="T55" s="406">
        <f>U55-S55</f>
        <v>966</v>
      </c>
      <c r="U55" s="406">
        <v>2241</v>
      </c>
      <c r="V55" s="578"/>
      <c r="W55" s="575">
        <v>232</v>
      </c>
      <c r="X55" s="406">
        <f t="shared" si="0"/>
        <v>1432</v>
      </c>
      <c r="Y55" s="406">
        <v>1664</v>
      </c>
      <c r="Z55" s="406">
        <f t="shared" si="0"/>
        <v>413.26699999999983</v>
      </c>
      <c r="AA55" s="454">
        <v>2077.2669999999998</v>
      </c>
      <c r="AB55" s="406">
        <f t="shared" si="0"/>
        <v>196.73300000000017</v>
      </c>
      <c r="AC55" s="21">
        <v>2274</v>
      </c>
      <c r="AD55" s="578"/>
      <c r="AE55" s="25">
        <v>764</v>
      </c>
      <c r="AF55" s="406">
        <f>AG55-AE55-AE57</f>
        <v>5986</v>
      </c>
      <c r="AG55" s="406">
        <v>10532</v>
      </c>
      <c r="AH55" s="406">
        <f t="shared" ref="AH55" si="38">AI55-AG55</f>
        <v>5949</v>
      </c>
      <c r="AI55" s="406">
        <v>16481</v>
      </c>
      <c r="AJ55" s="406"/>
      <c r="AK55" s="21">
        <v>8287</v>
      </c>
      <c r="AL55" s="20"/>
      <c r="AM55" s="25">
        <v>499</v>
      </c>
      <c r="AN55" s="406">
        <v>369</v>
      </c>
      <c r="AO55" s="406">
        <v>868</v>
      </c>
      <c r="AP55" s="406">
        <v>1032</v>
      </c>
      <c r="AQ55" s="406">
        <v>1900</v>
      </c>
      <c r="AR55" s="406">
        <v>691</v>
      </c>
      <c r="AS55" s="21">
        <v>2591</v>
      </c>
      <c r="AT55" s="20"/>
      <c r="AU55" s="25">
        <v>174</v>
      </c>
      <c r="AV55" s="442">
        <v>610</v>
      </c>
      <c r="AW55" s="406">
        <v>784</v>
      </c>
      <c r="AX55" s="406">
        <v>113</v>
      </c>
      <c r="AY55" s="406">
        <v>897</v>
      </c>
      <c r="AZ55" s="406">
        <v>365</v>
      </c>
      <c r="BA55" s="21">
        <v>1262</v>
      </c>
      <c r="BB55" s="20"/>
      <c r="BC55" s="25">
        <v>212</v>
      </c>
      <c r="BD55" s="103">
        <v>1124</v>
      </c>
      <c r="BE55" s="20">
        <v>1336</v>
      </c>
      <c r="BF55" s="103">
        <v>211</v>
      </c>
      <c r="BG55" s="20">
        <v>1547</v>
      </c>
      <c r="BH55" s="103">
        <v>696</v>
      </c>
      <c r="BI55" s="21">
        <v>2243</v>
      </c>
      <c r="BJ55" s="20"/>
      <c r="BK55" s="25">
        <v>1362</v>
      </c>
      <c r="BL55" s="103">
        <v>1067</v>
      </c>
      <c r="BM55" s="20">
        <v>2429</v>
      </c>
      <c r="BN55" s="103">
        <v>200</v>
      </c>
      <c r="BO55" s="20">
        <v>2629</v>
      </c>
      <c r="BP55" s="103">
        <v>-307</v>
      </c>
      <c r="BQ55" s="21">
        <v>2322</v>
      </c>
      <c r="BR55" s="20"/>
      <c r="BS55" s="25">
        <v>1462</v>
      </c>
      <c r="BT55" s="103">
        <v>469</v>
      </c>
      <c r="BU55" s="20">
        <v>1931</v>
      </c>
      <c r="BV55" s="103">
        <v>983</v>
      </c>
      <c r="BW55" s="20">
        <v>2914</v>
      </c>
      <c r="BX55" s="103">
        <v>20</v>
      </c>
      <c r="BY55" s="21">
        <v>2934</v>
      </c>
      <c r="BZ55" s="20"/>
      <c r="CA55" s="84">
        <v>540</v>
      </c>
      <c r="CB55" s="279">
        <v>1298</v>
      </c>
      <c r="CC55" s="40">
        <v>1838</v>
      </c>
    </row>
    <row r="56" spans="1:81" s="14" customFormat="1" ht="5.25" customHeight="1" x14ac:dyDescent="0.25">
      <c r="A56" s="4"/>
      <c r="B56" s="16"/>
      <c r="C56" s="20"/>
      <c r="D56" s="20"/>
      <c r="E56" s="732"/>
      <c r="F56" s="20"/>
      <c r="G56" s="639"/>
      <c r="H56" s="532"/>
      <c r="I56" s="532"/>
      <c r="J56" s="532"/>
      <c r="K56" s="532"/>
      <c r="L56" s="532"/>
      <c r="M56" s="640"/>
      <c r="N56" s="20"/>
      <c r="O56" s="575"/>
      <c r="P56" s="406"/>
      <c r="Q56" s="406"/>
      <c r="R56" s="406"/>
      <c r="S56" s="406"/>
      <c r="T56" s="406"/>
      <c r="U56" s="406"/>
      <c r="V56" s="578"/>
      <c r="W56" s="575"/>
      <c r="X56" s="406"/>
      <c r="Y56" s="406"/>
      <c r="Z56" s="406"/>
      <c r="AA56" s="445"/>
      <c r="AB56" s="406"/>
      <c r="AC56" s="21"/>
      <c r="AD56" s="578"/>
      <c r="AE56" s="25"/>
      <c r="AF56" s="406"/>
      <c r="AG56" s="406"/>
      <c r="AH56" s="406"/>
      <c r="AI56" s="406"/>
      <c r="AJ56" s="406"/>
      <c r="AK56" s="21"/>
      <c r="AL56" s="20"/>
      <c r="AM56" s="25"/>
      <c r="AN56" s="406"/>
      <c r="AO56" s="406"/>
      <c r="AP56" s="406"/>
      <c r="AQ56" s="406"/>
      <c r="AR56" s="406"/>
      <c r="AS56" s="21"/>
      <c r="AT56" s="20"/>
      <c r="AU56" s="25"/>
      <c r="AV56" s="442"/>
      <c r="AW56" s="406"/>
      <c r="AX56" s="406"/>
      <c r="AY56" s="406"/>
      <c r="AZ56" s="406"/>
      <c r="BA56" s="21"/>
      <c r="BB56" s="20"/>
      <c r="BC56" s="25"/>
      <c r="BD56" s="103"/>
      <c r="BE56" s="20"/>
      <c r="BF56" s="103"/>
      <c r="BG56" s="20"/>
      <c r="BH56" s="103"/>
      <c r="BI56" s="21"/>
      <c r="BJ56" s="20"/>
      <c r="BK56" s="25"/>
      <c r="BL56" s="103"/>
      <c r="BM56" s="20"/>
      <c r="BN56" s="103"/>
      <c r="BO56" s="20"/>
      <c r="BP56" s="103"/>
      <c r="BQ56" s="21"/>
      <c r="BR56" s="20"/>
      <c r="BS56" s="25"/>
      <c r="BT56" s="103"/>
      <c r="BU56" s="20"/>
      <c r="BV56" s="103"/>
      <c r="BW56" s="20"/>
      <c r="BX56" s="103"/>
      <c r="BY56" s="21"/>
      <c r="BZ56" s="20"/>
      <c r="CA56" s="84"/>
      <c r="CB56" s="279"/>
      <c r="CC56" s="40"/>
    </row>
    <row r="57" spans="1:81" s="14" customFormat="1" x14ac:dyDescent="0.25">
      <c r="A57" s="4" t="s">
        <v>232</v>
      </c>
      <c r="B57" s="419" t="s">
        <v>170</v>
      </c>
      <c r="C57" s="370"/>
      <c r="D57" s="370"/>
      <c r="E57" s="732">
        <v>568</v>
      </c>
      <c r="F57" s="370"/>
      <c r="G57" s="639">
        <v>652</v>
      </c>
      <c r="H57" s="653">
        <f>I57-G57</f>
        <v>1405</v>
      </c>
      <c r="I57" s="532">
        <v>2057</v>
      </c>
      <c r="J57" s="653">
        <f>K57-I57</f>
        <v>1175</v>
      </c>
      <c r="K57" s="532">
        <v>3232</v>
      </c>
      <c r="L57" s="653">
        <f>M57-K57</f>
        <v>1171</v>
      </c>
      <c r="M57" s="640">
        <v>4403</v>
      </c>
      <c r="N57" s="370"/>
      <c r="O57" s="575">
        <v>406</v>
      </c>
      <c r="P57" s="406">
        <v>782</v>
      </c>
      <c r="Q57" s="454">
        <v>1188</v>
      </c>
      <c r="R57" s="406">
        <v>1403</v>
      </c>
      <c r="S57" s="454">
        <v>2591</v>
      </c>
      <c r="T57" s="406">
        <f>U57-S57</f>
        <v>1092</v>
      </c>
      <c r="U57" s="454">
        <v>3683</v>
      </c>
      <c r="V57" s="347"/>
      <c r="W57" s="575">
        <v>5183</v>
      </c>
      <c r="X57" s="406">
        <f t="shared" si="0"/>
        <v>3635</v>
      </c>
      <c r="Y57" s="454">
        <v>8818</v>
      </c>
      <c r="Z57" s="406">
        <f t="shared" si="0"/>
        <v>976.7559999999994</v>
      </c>
      <c r="AA57" s="445">
        <v>9794.7559999999994</v>
      </c>
      <c r="AB57" s="406">
        <f t="shared" si="0"/>
        <v>620.2440000000006</v>
      </c>
      <c r="AC57" s="372">
        <v>10415</v>
      </c>
      <c r="AD57" s="347"/>
      <c r="AE57" s="371">
        <v>3782</v>
      </c>
      <c r="AF57" s="406"/>
      <c r="AG57" s="454"/>
      <c r="AH57" s="454"/>
      <c r="AI57" s="454"/>
      <c r="AJ57" s="454"/>
      <c r="AK57" s="372">
        <v>17887</v>
      </c>
      <c r="AL57" s="370"/>
      <c r="AM57" s="371">
        <v>1962</v>
      </c>
      <c r="AN57" s="406">
        <v>2122</v>
      </c>
      <c r="AO57" s="454">
        <v>4084</v>
      </c>
      <c r="AP57" s="406">
        <v>1593</v>
      </c>
      <c r="AQ57" s="454">
        <v>5677</v>
      </c>
      <c r="AR57" s="454">
        <f>AS57-AQ57</f>
        <v>1669</v>
      </c>
      <c r="AS57" s="372">
        <v>7346</v>
      </c>
      <c r="AT57" s="370"/>
      <c r="AU57" s="371">
        <v>2651</v>
      </c>
      <c r="AV57" s="454">
        <v>1756</v>
      </c>
      <c r="AW57" s="454">
        <v>4407</v>
      </c>
      <c r="AX57" s="454">
        <v>1991</v>
      </c>
      <c r="AY57" s="454">
        <v>6398</v>
      </c>
      <c r="AZ57" s="406">
        <v>1875</v>
      </c>
      <c r="BA57" s="372">
        <v>8273</v>
      </c>
      <c r="BB57" s="370"/>
      <c r="BC57" s="371">
        <v>845</v>
      </c>
      <c r="BD57" s="370">
        <v>2331</v>
      </c>
      <c r="BE57" s="370">
        <v>3176</v>
      </c>
      <c r="BF57" s="370">
        <v>2245</v>
      </c>
      <c r="BG57" s="370">
        <v>5421</v>
      </c>
      <c r="BH57" s="370">
        <v>2157</v>
      </c>
      <c r="BI57" s="372">
        <v>7578</v>
      </c>
      <c r="BJ57" s="370"/>
      <c r="BK57" s="371">
        <v>6211</v>
      </c>
      <c r="BL57" s="370">
        <v>8268</v>
      </c>
      <c r="BM57" s="370">
        <v>14479</v>
      </c>
      <c r="BN57" s="370">
        <v>4730</v>
      </c>
      <c r="BO57" s="370">
        <v>19209</v>
      </c>
      <c r="BP57" s="370">
        <v>1986</v>
      </c>
      <c r="BQ57" s="372">
        <v>21195</v>
      </c>
      <c r="BR57" s="370"/>
      <c r="BS57" s="371">
        <v>3919</v>
      </c>
      <c r="BT57" s="370">
        <v>6531</v>
      </c>
      <c r="BU57" s="370">
        <v>10450</v>
      </c>
      <c r="BV57" s="370">
        <v>6971</v>
      </c>
      <c r="BW57" s="370">
        <v>17421</v>
      </c>
      <c r="BX57" s="370">
        <v>6681</v>
      </c>
      <c r="BY57" s="372">
        <v>24102</v>
      </c>
      <c r="BZ57" s="370"/>
      <c r="CA57" s="439">
        <v>294</v>
      </c>
      <c r="CB57" s="370">
        <v>1391</v>
      </c>
      <c r="CC57" s="341">
        <v>1685</v>
      </c>
    </row>
    <row r="58" spans="1:81" s="14" customFormat="1" x14ac:dyDescent="0.25">
      <c r="A58" s="4"/>
      <c r="B58" s="16"/>
      <c r="C58" s="20"/>
      <c r="D58" s="20"/>
      <c r="E58" s="578"/>
      <c r="F58" s="20"/>
      <c r="G58" s="25"/>
      <c r="H58" s="406"/>
      <c r="I58" s="406"/>
      <c r="J58" s="406"/>
      <c r="K58" s="406"/>
      <c r="L58" s="406"/>
      <c r="M58" s="21"/>
      <c r="N58" s="20"/>
      <c r="O58" s="25"/>
      <c r="P58" s="406"/>
      <c r="Q58" s="406"/>
      <c r="R58" s="406"/>
      <c r="S58" s="406"/>
      <c r="T58" s="406"/>
      <c r="U58" s="21"/>
      <c r="V58" s="578"/>
      <c r="W58" s="25"/>
      <c r="X58" s="406"/>
      <c r="Y58" s="406"/>
      <c r="Z58" s="406"/>
      <c r="AA58" s="406"/>
      <c r="AB58" s="406"/>
      <c r="AC58" s="21"/>
      <c r="AD58" s="578"/>
      <c r="AE58" s="25"/>
      <c r="AF58" s="406"/>
      <c r="AG58" s="406"/>
      <c r="AH58" s="406"/>
      <c r="AI58" s="406"/>
      <c r="AJ58" s="406"/>
      <c r="AK58" s="21"/>
      <c r="AL58" s="20"/>
      <c r="AM58" s="25"/>
      <c r="AN58" s="406"/>
      <c r="AO58" s="406"/>
      <c r="AP58" s="406"/>
      <c r="AQ58" s="406"/>
      <c r="AR58" s="406"/>
      <c r="AS58" s="21"/>
      <c r="AT58" s="20"/>
      <c r="AU58" s="25"/>
      <c r="AV58" s="406"/>
      <c r="AW58" s="406"/>
      <c r="AX58" s="406"/>
      <c r="AY58" s="406"/>
      <c r="AZ58" s="406"/>
      <c r="BA58" s="21"/>
      <c r="BB58" s="20"/>
      <c r="BC58" s="25"/>
      <c r="BD58" s="20"/>
      <c r="BE58" s="20"/>
      <c r="BF58" s="20"/>
      <c r="BG58" s="20"/>
      <c r="BH58" s="20"/>
      <c r="BI58" s="21"/>
      <c r="BJ58" s="20"/>
      <c r="BK58" s="25"/>
      <c r="BL58" s="20"/>
      <c r="BM58" s="20"/>
      <c r="BN58" s="20"/>
      <c r="BO58" s="20"/>
      <c r="BP58" s="20"/>
      <c r="BQ58" s="21"/>
      <c r="BR58" s="20"/>
      <c r="BS58" s="25"/>
      <c r="BT58" s="20"/>
      <c r="BU58" s="20"/>
      <c r="BV58" s="20"/>
      <c r="BW58" s="20"/>
      <c r="BX58" s="20"/>
      <c r="BY58" s="21"/>
      <c r="BZ58" s="20"/>
      <c r="CA58" s="84"/>
      <c r="CB58" s="39"/>
      <c r="CC58" s="40"/>
    </row>
    <row r="59" spans="1:81" s="14" customFormat="1" x14ac:dyDescent="0.25">
      <c r="A59" s="4"/>
      <c r="B59" s="43" t="s">
        <v>67</v>
      </c>
      <c r="C59" s="20"/>
      <c r="D59" s="20"/>
      <c r="E59" s="578"/>
      <c r="F59" s="20"/>
      <c r="G59" s="25"/>
      <c r="H59" s="406"/>
      <c r="I59" s="406"/>
      <c r="J59" s="406"/>
      <c r="K59" s="406"/>
      <c r="L59" s="406"/>
      <c r="M59" s="21"/>
      <c r="N59" s="20"/>
      <c r="O59" s="25"/>
      <c r="P59" s="406"/>
      <c r="Q59" s="406"/>
      <c r="R59" s="406"/>
      <c r="S59" s="406"/>
      <c r="T59" s="406"/>
      <c r="U59" s="21"/>
      <c r="V59" s="578"/>
      <c r="W59" s="25"/>
      <c r="X59" s="406"/>
      <c r="Y59" s="406"/>
      <c r="Z59" s="406"/>
      <c r="AA59" s="406"/>
      <c r="AB59" s="406"/>
      <c r="AC59" s="21"/>
      <c r="AD59" s="578"/>
      <c r="AE59" s="25"/>
      <c r="AF59" s="406"/>
      <c r="AG59" s="406"/>
      <c r="AH59" s="406"/>
      <c r="AI59" s="406"/>
      <c r="AJ59" s="406"/>
      <c r="AK59" s="21"/>
      <c r="AL59" s="20"/>
      <c r="AM59" s="25"/>
      <c r="AN59" s="406"/>
      <c r="AO59" s="406"/>
      <c r="AP59" s="406"/>
      <c r="AQ59" s="406"/>
      <c r="AR59" s="406"/>
      <c r="AS59" s="21"/>
      <c r="AT59" s="20"/>
      <c r="AU59" s="25"/>
      <c r="AV59" s="406"/>
      <c r="AW59" s="406"/>
      <c r="AX59" s="406"/>
      <c r="AY59" s="406"/>
      <c r="AZ59" s="406"/>
      <c r="BA59" s="21"/>
      <c r="BB59" s="20"/>
      <c r="BC59" s="25"/>
      <c r="BD59" s="20"/>
      <c r="BE59" s="20"/>
      <c r="BF59" s="20"/>
      <c r="BG59" s="20"/>
      <c r="BH59" s="20"/>
      <c r="BI59" s="21"/>
      <c r="BJ59" s="20"/>
      <c r="BK59" s="25"/>
      <c r="BL59" s="20"/>
      <c r="BM59" s="20"/>
      <c r="BN59" s="20"/>
      <c r="BO59" s="20"/>
      <c r="BP59" s="20"/>
      <c r="BQ59" s="21"/>
      <c r="BR59" s="20"/>
      <c r="BS59" s="25"/>
      <c r="BT59" s="20"/>
      <c r="BU59" s="20"/>
      <c r="BV59" s="20"/>
      <c r="BW59" s="20"/>
      <c r="BX59" s="20"/>
      <c r="BY59" s="21"/>
      <c r="BZ59" s="20"/>
      <c r="CA59" s="84"/>
      <c r="CB59" s="39"/>
      <c r="CC59" s="40"/>
    </row>
    <row r="60" spans="1:81" s="14" customFormat="1" x14ac:dyDescent="0.25">
      <c r="A60" s="4"/>
      <c r="B60" s="16" t="s">
        <v>68</v>
      </c>
      <c r="C60" s="20"/>
      <c r="D60" s="20"/>
      <c r="E60" s="578"/>
      <c r="F60" s="20"/>
      <c r="G60" s="25"/>
      <c r="H60" s="406"/>
      <c r="I60" s="406"/>
      <c r="J60" s="406"/>
      <c r="K60" s="406"/>
      <c r="L60" s="406"/>
      <c r="M60" s="645">
        <v>0.97799999999999998</v>
      </c>
      <c r="N60" s="20"/>
      <c r="O60" s="25"/>
      <c r="P60" s="406"/>
      <c r="Q60" s="406"/>
      <c r="R60" s="406"/>
      <c r="S60" s="406"/>
      <c r="T60" s="406"/>
      <c r="U60" s="557">
        <v>0.97599999999999998</v>
      </c>
      <c r="V60" s="578"/>
      <c r="W60" s="25"/>
      <c r="X60" s="406"/>
      <c r="Y60" s="406"/>
      <c r="Z60" s="406"/>
      <c r="AA60" s="406"/>
      <c r="AB60" s="406"/>
      <c r="AC60" s="557">
        <v>0.97199999999999998</v>
      </c>
      <c r="AD60" s="578"/>
      <c r="AE60" s="25"/>
      <c r="AF60" s="406"/>
      <c r="AG60" s="406"/>
      <c r="AH60" s="406"/>
      <c r="AI60" s="406"/>
      <c r="AJ60" s="406"/>
      <c r="AK60" s="557">
        <v>0.97699999999999998</v>
      </c>
      <c r="AL60" s="20"/>
      <c r="AM60" s="25"/>
      <c r="AN60" s="406"/>
      <c r="AO60" s="406"/>
      <c r="AP60" s="406"/>
      <c r="AQ60" s="406"/>
      <c r="AR60" s="45">
        <v>0.97599999999999998</v>
      </c>
      <c r="AS60" s="21"/>
      <c r="AT60" s="20"/>
      <c r="AU60" s="25"/>
      <c r="AV60" s="450"/>
      <c r="AW60" s="450"/>
      <c r="AX60" s="450"/>
      <c r="AY60" s="450"/>
      <c r="AZ60" s="45">
        <v>0.97599999999999998</v>
      </c>
      <c r="BA60" s="68"/>
      <c r="BB60" s="20"/>
      <c r="BC60" s="25"/>
      <c r="BD60" s="20"/>
      <c r="BE60" s="20"/>
      <c r="BF60" s="20"/>
      <c r="BG60" s="20"/>
      <c r="BH60" s="45">
        <v>0.97599999999999998</v>
      </c>
      <c r="BI60" s="68"/>
      <c r="BJ60" s="20"/>
      <c r="BK60" s="25"/>
      <c r="BL60" s="20"/>
      <c r="BM60" s="20"/>
      <c r="BN60" s="20"/>
      <c r="BO60" s="20"/>
      <c r="BP60" s="45">
        <v>0.97499999999999998</v>
      </c>
      <c r="BQ60" s="21"/>
      <c r="BR60" s="20"/>
      <c r="BS60" s="25"/>
      <c r="BT60" s="20"/>
      <c r="BU60" s="20"/>
      <c r="BV60" s="20"/>
      <c r="BW60" s="20"/>
      <c r="BX60" s="45">
        <v>0.97499999999999998</v>
      </c>
      <c r="BY60" s="21"/>
      <c r="BZ60" s="20"/>
      <c r="CA60" s="84"/>
      <c r="CB60" s="45">
        <v>0.97499999999999998</v>
      </c>
      <c r="CC60" s="40"/>
    </row>
    <row r="61" spans="1:81" s="14" customFormat="1" ht="15.75" thickBot="1" x14ac:dyDescent="0.3">
      <c r="A61" s="4"/>
      <c r="B61" s="12" t="s">
        <v>69</v>
      </c>
      <c r="C61" s="20"/>
      <c r="D61" s="20"/>
      <c r="E61" s="749"/>
      <c r="F61" s="20"/>
      <c r="G61" s="50"/>
      <c r="H61" s="51"/>
      <c r="I61" s="51"/>
      <c r="J61" s="51"/>
      <c r="K61" s="51"/>
      <c r="L61" s="51"/>
      <c r="M61" s="646">
        <v>0.876</v>
      </c>
      <c r="N61" s="20"/>
      <c r="O61" s="50"/>
      <c r="P61" s="51"/>
      <c r="Q61" s="51"/>
      <c r="R61" s="51"/>
      <c r="S61" s="51"/>
      <c r="T61" s="51"/>
      <c r="U61" s="558">
        <v>0.86899999999999999</v>
      </c>
      <c r="V61" s="578"/>
      <c r="W61" s="50"/>
      <c r="X61" s="51"/>
      <c r="Y61" s="51"/>
      <c r="Z61" s="51"/>
      <c r="AA61" s="51"/>
      <c r="AB61" s="51"/>
      <c r="AC61" s="558">
        <v>0.88900000000000001</v>
      </c>
      <c r="AD61" s="578"/>
      <c r="AE61" s="50"/>
      <c r="AF61" s="51"/>
      <c r="AG61" s="51"/>
      <c r="AH61" s="51"/>
      <c r="AI61" s="51"/>
      <c r="AJ61" s="51"/>
      <c r="AK61" s="558">
        <v>0.88300000000000001</v>
      </c>
      <c r="AL61" s="20"/>
      <c r="AM61" s="50"/>
      <c r="AN61" s="51"/>
      <c r="AO61" s="51"/>
      <c r="AP61" s="51"/>
      <c r="AQ61" s="51"/>
      <c r="AR61" s="52">
        <v>0.88400000000000001</v>
      </c>
      <c r="AS61" s="53"/>
      <c r="AT61" s="20"/>
      <c r="AU61" s="50"/>
      <c r="AV61" s="52"/>
      <c r="AW61" s="52"/>
      <c r="AX61" s="52"/>
      <c r="AY61" s="52"/>
      <c r="AZ61" s="52">
        <v>0.88100000000000001</v>
      </c>
      <c r="BA61" s="71"/>
      <c r="BB61" s="20"/>
      <c r="BC61" s="50"/>
      <c r="BD61" s="51"/>
      <c r="BE61" s="51"/>
      <c r="BF61" s="51"/>
      <c r="BG61" s="51"/>
      <c r="BH61" s="52">
        <v>0.88900000000000001</v>
      </c>
      <c r="BI61" s="71"/>
      <c r="BJ61" s="20"/>
      <c r="BK61" s="50"/>
      <c r="BL61" s="51"/>
      <c r="BM61" s="51"/>
      <c r="BN61" s="51"/>
      <c r="BO61" s="51"/>
      <c r="BP61" s="52">
        <v>0.88700000000000001</v>
      </c>
      <c r="BQ61" s="53"/>
      <c r="BR61" s="20"/>
      <c r="BS61" s="50"/>
      <c r="BT61" s="51"/>
      <c r="BU61" s="51"/>
      <c r="BV61" s="51"/>
      <c r="BW61" s="51"/>
      <c r="BX61" s="52">
        <v>0.85499999999999998</v>
      </c>
      <c r="BY61" s="53"/>
      <c r="BZ61" s="51"/>
      <c r="CA61" s="50"/>
      <c r="CB61" s="52">
        <v>0.85099999999999998</v>
      </c>
      <c r="CC61" s="53"/>
    </row>
    <row r="62" spans="1:81" s="14" customFormat="1" x14ac:dyDescent="0.25">
      <c r="A62" s="4"/>
      <c r="C62" s="61"/>
      <c r="D62" s="61"/>
      <c r="E62" s="528"/>
      <c r="F62" s="61"/>
      <c r="G62" s="528"/>
      <c r="H62" s="528"/>
      <c r="I62" s="61"/>
      <c r="J62" s="61"/>
      <c r="K62" s="61"/>
      <c r="L62" s="61"/>
      <c r="M62" s="61"/>
      <c r="N62" s="61"/>
      <c r="O62" s="528"/>
      <c r="P62" s="528"/>
      <c r="Q62" s="61"/>
      <c r="R62" s="61"/>
      <c r="S62" s="61"/>
      <c r="T62" s="61"/>
      <c r="U62" s="61"/>
      <c r="V62" s="61"/>
      <c r="W62" s="528"/>
      <c r="X62" s="528"/>
      <c r="Y62" s="61"/>
      <c r="Z62" s="61"/>
      <c r="AA62" s="61"/>
      <c r="AB62" s="61"/>
      <c r="AC62" s="61"/>
      <c r="AD62" s="61"/>
      <c r="AE62" s="528"/>
      <c r="AF62" s="528"/>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row>
    <row r="63" spans="1:81" s="95" customFormat="1" outlineLevel="1" x14ac:dyDescent="0.25">
      <c r="A63" s="4"/>
      <c r="B63" s="275" t="s">
        <v>37</v>
      </c>
      <c r="E63" s="276">
        <f t="shared" ref="E63" si="39">E17-E18-E19</f>
        <v>0</v>
      </c>
      <c r="G63" s="276">
        <f t="shared" ref="G63:M63" si="40">G17-G18-G19</f>
        <v>0</v>
      </c>
      <c r="H63" s="276">
        <f t="shared" si="40"/>
        <v>0</v>
      </c>
      <c r="I63" s="276">
        <f t="shared" si="40"/>
        <v>0</v>
      </c>
      <c r="J63" s="276">
        <f t="shared" si="40"/>
        <v>0</v>
      </c>
      <c r="K63" s="276">
        <f t="shared" si="40"/>
        <v>0</v>
      </c>
      <c r="L63" s="276">
        <f t="shared" si="40"/>
        <v>0</v>
      </c>
      <c r="M63" s="276">
        <f t="shared" si="40"/>
        <v>0</v>
      </c>
      <c r="O63" s="276">
        <f t="shared" ref="O63:U63" si="41">O17-O18-O19</f>
        <v>0</v>
      </c>
      <c r="P63" s="276">
        <f t="shared" si="41"/>
        <v>0</v>
      </c>
      <c r="Q63" s="276">
        <f t="shared" si="41"/>
        <v>0</v>
      </c>
      <c r="R63" s="276">
        <f t="shared" si="41"/>
        <v>0</v>
      </c>
      <c r="S63" s="276">
        <f t="shared" si="41"/>
        <v>0</v>
      </c>
      <c r="T63" s="276">
        <f t="shared" si="41"/>
        <v>0</v>
      </c>
      <c r="U63" s="276">
        <f t="shared" si="41"/>
        <v>0</v>
      </c>
      <c r="W63" s="276">
        <f t="shared" ref="W63:AC63" si="42">W17-W18-W19</f>
        <v>0</v>
      </c>
      <c r="X63" s="276">
        <f t="shared" ref="X63:Y63" si="43">X17-X18-X19</f>
        <v>0</v>
      </c>
      <c r="Y63" s="276">
        <f t="shared" si="43"/>
        <v>0</v>
      </c>
      <c r="Z63" s="276">
        <f t="shared" si="42"/>
        <v>0</v>
      </c>
      <c r="AA63" s="276">
        <f t="shared" si="42"/>
        <v>0</v>
      </c>
      <c r="AB63" s="276">
        <f t="shared" si="42"/>
        <v>0</v>
      </c>
      <c r="AC63" s="276">
        <f t="shared" si="42"/>
        <v>0</v>
      </c>
      <c r="AE63" s="276">
        <f t="shared" ref="AE63:AK63" si="44">AE17-AE18-AE19</f>
        <v>0</v>
      </c>
      <c r="AF63" s="276">
        <f t="shared" si="44"/>
        <v>0</v>
      </c>
      <c r="AG63" s="276">
        <f t="shared" si="44"/>
        <v>0</v>
      </c>
      <c r="AH63" s="276">
        <f t="shared" si="44"/>
        <v>0</v>
      </c>
      <c r="AI63" s="276">
        <f t="shared" si="44"/>
        <v>0</v>
      </c>
      <c r="AJ63" s="276">
        <f t="shared" si="44"/>
        <v>0</v>
      </c>
      <c r="AK63" s="276">
        <f t="shared" si="44"/>
        <v>0</v>
      </c>
      <c r="AM63" s="276">
        <f t="shared" ref="AM63:AS63" si="45">AM17-AM18-AM19</f>
        <v>0</v>
      </c>
      <c r="AN63" s="276">
        <f t="shared" si="45"/>
        <v>0</v>
      </c>
      <c r="AO63" s="276">
        <f t="shared" si="45"/>
        <v>0</v>
      </c>
      <c r="AP63" s="276">
        <f t="shared" si="45"/>
        <v>0</v>
      </c>
      <c r="AQ63" s="276">
        <f t="shared" si="45"/>
        <v>0</v>
      </c>
      <c r="AR63" s="276">
        <f t="shared" si="45"/>
        <v>0</v>
      </c>
      <c r="AS63" s="276">
        <f t="shared" si="45"/>
        <v>0</v>
      </c>
      <c r="AU63" s="276">
        <f t="shared" ref="AU63:BA63" si="46">AU17-AU18-AU19</f>
        <v>0</v>
      </c>
      <c r="AV63" s="276">
        <f t="shared" si="46"/>
        <v>0</v>
      </c>
      <c r="AW63" s="276">
        <f t="shared" si="46"/>
        <v>0</v>
      </c>
      <c r="AX63" s="276">
        <f t="shared" si="46"/>
        <v>0</v>
      </c>
      <c r="AY63" s="276">
        <f t="shared" si="46"/>
        <v>0</v>
      </c>
      <c r="AZ63" s="276">
        <f t="shared" si="46"/>
        <v>0</v>
      </c>
      <c r="BA63" s="276">
        <f t="shared" si="46"/>
        <v>0</v>
      </c>
      <c r="BC63" s="276">
        <f t="shared" ref="BC63:BI63" si="47">BC17-BC18-BC19</f>
        <v>0</v>
      </c>
      <c r="BD63" s="276">
        <f t="shared" si="47"/>
        <v>0</v>
      </c>
      <c r="BE63" s="276">
        <f t="shared" si="47"/>
        <v>0</v>
      </c>
      <c r="BF63" s="276">
        <f t="shared" si="47"/>
        <v>0</v>
      </c>
      <c r="BG63" s="276">
        <f t="shared" si="47"/>
        <v>0</v>
      </c>
      <c r="BH63" s="276">
        <f t="shared" si="47"/>
        <v>0</v>
      </c>
      <c r="BI63" s="276">
        <f t="shared" si="47"/>
        <v>0</v>
      </c>
      <c r="BK63" s="276">
        <f t="shared" ref="BK63:BQ63" si="48">BK17-BK18-BK19</f>
        <v>0</v>
      </c>
      <c r="BL63" s="276">
        <f t="shared" si="48"/>
        <v>0</v>
      </c>
      <c r="BM63" s="276">
        <f t="shared" si="48"/>
        <v>0</v>
      </c>
      <c r="BN63" s="276">
        <f t="shared" si="48"/>
        <v>0</v>
      </c>
      <c r="BO63" s="276">
        <f t="shared" si="48"/>
        <v>0</v>
      </c>
      <c r="BP63" s="276">
        <f t="shared" si="48"/>
        <v>0</v>
      </c>
      <c r="BQ63" s="276">
        <f t="shared" si="48"/>
        <v>0</v>
      </c>
      <c r="BS63" s="276">
        <f t="shared" ref="BS63:BY63" si="49">BS17-BS18-BS19</f>
        <v>0</v>
      </c>
      <c r="BT63" s="276">
        <f t="shared" si="49"/>
        <v>0</v>
      </c>
      <c r="BU63" s="276">
        <f t="shared" si="49"/>
        <v>0</v>
      </c>
      <c r="BV63" s="276">
        <f t="shared" si="49"/>
        <v>0</v>
      </c>
      <c r="BW63" s="276">
        <f t="shared" si="49"/>
        <v>0</v>
      </c>
      <c r="BX63" s="276">
        <f t="shared" si="49"/>
        <v>0</v>
      </c>
      <c r="BY63" s="276">
        <f t="shared" si="49"/>
        <v>0</v>
      </c>
      <c r="CA63" s="276">
        <f>CA17-CA18-CA19</f>
        <v>0</v>
      </c>
      <c r="CB63" s="276">
        <f>CB17-CB18-CB19</f>
        <v>0</v>
      </c>
      <c r="CC63" s="276">
        <f>CC17-CC18-CC19</f>
        <v>0</v>
      </c>
    </row>
    <row r="64" spans="1:81" s="95" customFormat="1" outlineLevel="1" x14ac:dyDescent="0.25">
      <c r="A64" s="4"/>
      <c r="B64" s="277" t="s">
        <v>38</v>
      </c>
      <c r="E64" s="276">
        <f t="shared" ref="E64" si="50">E19-SUM(E20:E23)-E24</f>
        <v>0</v>
      </c>
      <c r="G64" s="276">
        <f t="shared" ref="G64:M64" si="51">G19-SUM(G20:G23)-G24</f>
        <v>0</v>
      </c>
      <c r="H64" s="276">
        <f t="shared" si="51"/>
        <v>0</v>
      </c>
      <c r="I64" s="276">
        <f t="shared" si="51"/>
        <v>0</v>
      </c>
      <c r="J64" s="276">
        <f t="shared" si="51"/>
        <v>0</v>
      </c>
      <c r="K64" s="276">
        <f t="shared" si="51"/>
        <v>0</v>
      </c>
      <c r="L64" s="276">
        <f t="shared" si="51"/>
        <v>0</v>
      </c>
      <c r="M64" s="276">
        <f t="shared" si="51"/>
        <v>0</v>
      </c>
      <c r="O64" s="276">
        <f t="shared" ref="O64" si="52">O19-SUM(O20:O23)-O24</f>
        <v>0</v>
      </c>
      <c r="P64" s="276">
        <f t="shared" ref="P64:Q64" si="53">P19-SUM(P20:P23)-P24</f>
        <v>0</v>
      </c>
      <c r="Q64" s="276">
        <f t="shared" si="53"/>
        <v>0</v>
      </c>
      <c r="R64" s="276">
        <f t="shared" ref="R64:U64" si="54">R19-SUM(R20:R23)-R24</f>
        <v>0</v>
      </c>
      <c r="S64" s="276">
        <f t="shared" si="54"/>
        <v>0</v>
      </c>
      <c r="T64" s="276">
        <f t="shared" si="54"/>
        <v>0</v>
      </c>
      <c r="U64" s="276">
        <f t="shared" si="54"/>
        <v>0</v>
      </c>
      <c r="W64" s="276">
        <f t="shared" ref="W64:AC64" si="55">W19-SUM(W20:W23)-W24</f>
        <v>0</v>
      </c>
      <c r="X64" s="276">
        <f t="shared" ref="X64:Y64" si="56">X19-SUM(X20:X23)-X24</f>
        <v>0</v>
      </c>
      <c r="Y64" s="276">
        <f t="shared" si="56"/>
        <v>0</v>
      </c>
      <c r="Z64" s="276">
        <f t="shared" si="55"/>
        <v>0</v>
      </c>
      <c r="AA64" s="276">
        <f t="shared" si="55"/>
        <v>0</v>
      </c>
      <c r="AB64" s="276">
        <f t="shared" si="55"/>
        <v>0</v>
      </c>
      <c r="AC64" s="276">
        <f t="shared" si="55"/>
        <v>0</v>
      </c>
      <c r="AE64" s="276">
        <f t="shared" ref="AE64:AK64" si="57">AE19-SUM(AE20:AE23)-AE24</f>
        <v>0</v>
      </c>
      <c r="AF64" s="276">
        <f t="shared" si="57"/>
        <v>-7.7989999990677461E-2</v>
      </c>
      <c r="AG64" s="276">
        <f t="shared" si="57"/>
        <v>-7.7989999990677461E-2</v>
      </c>
      <c r="AH64" s="276">
        <f t="shared" si="57"/>
        <v>7.7989999990677461E-2</v>
      </c>
      <c r="AI64" s="276">
        <f t="shared" si="57"/>
        <v>0</v>
      </c>
      <c r="AJ64" s="276">
        <f t="shared" si="57"/>
        <v>0</v>
      </c>
      <c r="AK64" s="276">
        <f t="shared" si="57"/>
        <v>0</v>
      </c>
      <c r="AM64" s="276">
        <f t="shared" ref="AM64:AS64" si="58">AM19-SUM(AM20:AM23)-AM24</f>
        <v>0</v>
      </c>
      <c r="AN64" s="276">
        <f t="shared" si="58"/>
        <v>0</v>
      </c>
      <c r="AO64" s="276">
        <f t="shared" si="58"/>
        <v>0</v>
      </c>
      <c r="AP64" s="276">
        <f t="shared" si="58"/>
        <v>0</v>
      </c>
      <c r="AQ64" s="276">
        <f t="shared" si="58"/>
        <v>0</v>
      </c>
      <c r="AR64" s="276">
        <f t="shared" si="58"/>
        <v>0</v>
      </c>
      <c r="AS64" s="276">
        <f t="shared" si="58"/>
        <v>0</v>
      </c>
      <c r="AU64" s="276">
        <f t="shared" ref="AU64:BA64" si="59">AU19-SUM(AU20:AU23)-AU24</f>
        <v>0</v>
      </c>
      <c r="AV64" s="276">
        <f t="shared" si="59"/>
        <v>0</v>
      </c>
      <c r="AW64" s="276">
        <f t="shared" si="59"/>
        <v>0</v>
      </c>
      <c r="AX64" s="276">
        <f t="shared" si="59"/>
        <v>0</v>
      </c>
      <c r="AY64" s="276">
        <f t="shared" si="59"/>
        <v>0</v>
      </c>
      <c r="AZ64" s="276">
        <f t="shared" si="59"/>
        <v>0</v>
      </c>
      <c r="BA64" s="276">
        <f t="shared" si="59"/>
        <v>0</v>
      </c>
      <c r="BC64" s="276">
        <f t="shared" ref="BC64:BI64" si="60">BC19-SUM(BC20:BC23)-BC24</f>
        <v>0</v>
      </c>
      <c r="BD64" s="276">
        <f t="shared" si="60"/>
        <v>0</v>
      </c>
      <c r="BE64" s="276">
        <f t="shared" si="60"/>
        <v>0</v>
      </c>
      <c r="BF64" s="276">
        <f t="shared" si="60"/>
        <v>0</v>
      </c>
      <c r="BG64" s="276">
        <f t="shared" si="60"/>
        <v>0</v>
      </c>
      <c r="BH64" s="276">
        <f t="shared" si="60"/>
        <v>0</v>
      </c>
      <c r="BI64" s="276">
        <f t="shared" si="60"/>
        <v>0</v>
      </c>
      <c r="BK64" s="276">
        <f t="shared" ref="BK64:BQ64" si="61">BK19-SUM(BK20:BK23)-BK24</f>
        <v>0</v>
      </c>
      <c r="BL64" s="276">
        <f t="shared" si="61"/>
        <v>0</v>
      </c>
      <c r="BM64" s="276">
        <f t="shared" si="61"/>
        <v>0</v>
      </c>
      <c r="BN64" s="276">
        <f t="shared" si="61"/>
        <v>0</v>
      </c>
      <c r="BO64" s="276">
        <f t="shared" si="61"/>
        <v>0</v>
      </c>
      <c r="BP64" s="276">
        <f t="shared" si="61"/>
        <v>0</v>
      </c>
      <c r="BQ64" s="276">
        <f t="shared" si="61"/>
        <v>0</v>
      </c>
      <c r="BS64" s="276">
        <f t="shared" ref="BS64:BY64" si="62">BS19-SUM(BS20:BS23)-BS24</f>
        <v>0</v>
      </c>
      <c r="BT64" s="276">
        <f t="shared" si="62"/>
        <v>0</v>
      </c>
      <c r="BU64" s="276">
        <f t="shared" si="62"/>
        <v>0</v>
      </c>
      <c r="BV64" s="276">
        <f t="shared" si="62"/>
        <v>0</v>
      </c>
      <c r="BW64" s="276">
        <f t="shared" si="62"/>
        <v>0</v>
      </c>
      <c r="BX64" s="276">
        <f t="shared" si="62"/>
        <v>0</v>
      </c>
      <c r="BY64" s="276">
        <f t="shared" si="62"/>
        <v>0</v>
      </c>
      <c r="CA64" s="276">
        <f>CA19-SUM(CA20:CA23)-CA24</f>
        <v>0</v>
      </c>
      <c r="CB64" s="276">
        <f>CB19-SUM(CB20:CB23)-CB24</f>
        <v>0</v>
      </c>
      <c r="CC64" s="276">
        <f>CC19-SUM(CC20:CC23)-CC24</f>
        <v>0</v>
      </c>
    </row>
    <row r="65" spans="1:81" s="95" customFormat="1" outlineLevel="1" x14ac:dyDescent="0.25">
      <c r="A65" s="4"/>
      <c r="B65" s="277" t="s">
        <v>24</v>
      </c>
      <c r="E65" s="276">
        <f t="shared" ref="E65" si="63">E24-SUM(E25:E28)-E29</f>
        <v>0</v>
      </c>
      <c r="G65" s="276">
        <f t="shared" ref="G65:J65" si="64">G24-SUM(G25:G28)-G29</f>
        <v>0</v>
      </c>
      <c r="H65" s="276">
        <f t="shared" si="64"/>
        <v>0</v>
      </c>
      <c r="I65" s="276">
        <f t="shared" si="64"/>
        <v>0</v>
      </c>
      <c r="J65" s="276">
        <f t="shared" si="64"/>
        <v>0</v>
      </c>
      <c r="K65" s="276">
        <f>K24-SUM(K25:K28)-K29</f>
        <v>0</v>
      </c>
      <c r="L65" s="276">
        <f t="shared" ref="L65:M65" si="65">L24-SUM(L25:L28)-L29</f>
        <v>0</v>
      </c>
      <c r="M65" s="276">
        <f t="shared" si="65"/>
        <v>0</v>
      </c>
      <c r="O65" s="276">
        <f t="shared" ref="O65:R65" si="66">O24-SUM(O25:O28)-O29</f>
        <v>0</v>
      </c>
      <c r="P65" s="276">
        <f t="shared" si="66"/>
        <v>0</v>
      </c>
      <c r="Q65" s="276">
        <f t="shared" si="66"/>
        <v>0</v>
      </c>
      <c r="R65" s="276">
        <f t="shared" si="66"/>
        <v>0</v>
      </c>
      <c r="S65" s="276">
        <f>S24-SUM(S25:S28)-S29</f>
        <v>0</v>
      </c>
      <c r="T65" s="276">
        <f t="shared" ref="T65:U65" si="67">T24-SUM(T25:T28)-T29</f>
        <v>0</v>
      </c>
      <c r="U65" s="276">
        <f t="shared" si="67"/>
        <v>0</v>
      </c>
      <c r="W65" s="276">
        <f t="shared" ref="W65:AC65" si="68">W24-SUM(W25:W28)-W29</f>
        <v>0</v>
      </c>
      <c r="X65" s="276">
        <f t="shared" ref="X65:Y65" si="69">X24-SUM(X25:X28)-X29</f>
        <v>0</v>
      </c>
      <c r="Y65" s="276">
        <f t="shared" si="69"/>
        <v>0</v>
      </c>
      <c r="Z65" s="276">
        <f t="shared" si="68"/>
        <v>0</v>
      </c>
      <c r="AA65" s="276">
        <f>AA24-SUM(AA25:AA28)-AA29</f>
        <v>0</v>
      </c>
      <c r="AB65" s="276">
        <f t="shared" si="68"/>
        <v>0</v>
      </c>
      <c r="AC65" s="276">
        <f t="shared" si="68"/>
        <v>0</v>
      </c>
      <c r="AE65" s="276">
        <f t="shared" ref="AE65:AK65" si="70">AE24-SUM(AE25:AE28)-AE29</f>
        <v>0</v>
      </c>
      <c r="AF65" s="276">
        <f t="shared" si="70"/>
        <v>0</v>
      </c>
      <c r="AG65" s="276">
        <f t="shared" si="70"/>
        <v>0</v>
      </c>
      <c r="AH65" s="276">
        <f t="shared" si="70"/>
        <v>0</v>
      </c>
      <c r="AI65" s="276">
        <f t="shared" si="70"/>
        <v>0</v>
      </c>
      <c r="AJ65" s="276">
        <f t="shared" si="70"/>
        <v>0</v>
      </c>
      <c r="AK65" s="276">
        <f t="shared" si="70"/>
        <v>0</v>
      </c>
      <c r="AM65" s="276">
        <f t="shared" ref="AM65:AS65" si="71">AM24-SUM(AM25:AM28)-AM29</f>
        <v>0</v>
      </c>
      <c r="AN65" s="276">
        <f t="shared" si="71"/>
        <v>0</v>
      </c>
      <c r="AO65" s="276">
        <f t="shared" si="71"/>
        <v>0</v>
      </c>
      <c r="AP65" s="276">
        <f t="shared" si="71"/>
        <v>0</v>
      </c>
      <c r="AQ65" s="276">
        <f t="shared" si="71"/>
        <v>0</v>
      </c>
      <c r="AR65" s="276">
        <f t="shared" si="71"/>
        <v>0</v>
      </c>
      <c r="AS65" s="276">
        <f t="shared" si="71"/>
        <v>0</v>
      </c>
      <c r="AU65" s="276">
        <f t="shared" ref="AU65:BA65" si="72">AU24-SUM(AU25:AU28)-AU29</f>
        <v>0</v>
      </c>
      <c r="AV65" s="276">
        <f t="shared" si="72"/>
        <v>0</v>
      </c>
      <c r="AW65" s="276">
        <f t="shared" si="72"/>
        <v>0</v>
      </c>
      <c r="AX65" s="276">
        <f t="shared" si="72"/>
        <v>0</v>
      </c>
      <c r="AY65" s="276">
        <f t="shared" si="72"/>
        <v>0</v>
      </c>
      <c r="AZ65" s="276">
        <f t="shared" si="72"/>
        <v>0</v>
      </c>
      <c r="BA65" s="276">
        <f t="shared" si="72"/>
        <v>0</v>
      </c>
      <c r="BC65" s="276">
        <f t="shared" ref="BC65:BI65" si="73">BC24-SUM(BC25:BC28)-BC29</f>
        <v>0</v>
      </c>
      <c r="BD65" s="276">
        <f t="shared" si="73"/>
        <v>0</v>
      </c>
      <c r="BE65" s="276">
        <f t="shared" si="73"/>
        <v>0</v>
      </c>
      <c r="BF65" s="276">
        <f t="shared" si="73"/>
        <v>0</v>
      </c>
      <c r="BG65" s="276">
        <f t="shared" si="73"/>
        <v>0</v>
      </c>
      <c r="BH65" s="276">
        <f t="shared" si="73"/>
        <v>0</v>
      </c>
      <c r="BI65" s="276">
        <f t="shared" si="73"/>
        <v>0</v>
      </c>
      <c r="BK65" s="276">
        <f t="shared" ref="BK65:BQ65" si="74">BK24-SUM(BK25:BK28)-BK29</f>
        <v>0</v>
      </c>
      <c r="BL65" s="276">
        <f t="shared" si="74"/>
        <v>0</v>
      </c>
      <c r="BM65" s="276">
        <f t="shared" si="74"/>
        <v>0</v>
      </c>
      <c r="BN65" s="276">
        <f t="shared" si="74"/>
        <v>0</v>
      </c>
      <c r="BO65" s="276">
        <f t="shared" si="74"/>
        <v>0</v>
      </c>
      <c r="BP65" s="276">
        <f t="shared" si="74"/>
        <v>0</v>
      </c>
      <c r="BQ65" s="276">
        <f t="shared" si="74"/>
        <v>0</v>
      </c>
      <c r="BS65" s="276">
        <f t="shared" ref="BS65:BY65" si="75">BS24-SUM(BS25:BS28)-BS29</f>
        <v>0</v>
      </c>
      <c r="BT65" s="276">
        <f t="shared" si="75"/>
        <v>0</v>
      </c>
      <c r="BU65" s="276">
        <f t="shared" si="75"/>
        <v>0</v>
      </c>
      <c r="BV65" s="276">
        <f t="shared" si="75"/>
        <v>0</v>
      </c>
      <c r="BW65" s="276">
        <f t="shared" si="75"/>
        <v>0</v>
      </c>
      <c r="BX65" s="276">
        <f t="shared" si="75"/>
        <v>0</v>
      </c>
      <c r="BY65" s="276">
        <f t="shared" si="75"/>
        <v>0</v>
      </c>
      <c r="CA65" s="276">
        <f>CA24-SUM(CA25:CA28)-CA29</f>
        <v>0</v>
      </c>
      <c r="CB65" s="276">
        <f>CB24-SUM(CB25:CB28)-CB29</f>
        <v>0</v>
      </c>
      <c r="CC65" s="276">
        <f>CC24-SUM(CC25:CC28)-CC29</f>
        <v>0</v>
      </c>
    </row>
    <row r="66" spans="1:81" s="95" customFormat="1" outlineLevel="1" x14ac:dyDescent="0.25">
      <c r="A66" s="4"/>
      <c r="B66" s="277" t="s">
        <v>57</v>
      </c>
      <c r="E66" s="276">
        <f t="shared" ref="E66:G66" si="76">SUM(E29:E35)-E36</f>
        <v>0</v>
      </c>
      <c r="G66" s="276">
        <f t="shared" si="76"/>
        <v>0</v>
      </c>
      <c r="H66" s="276">
        <f t="shared" ref="H66:I66" si="77">SUM(H29:H35)-H36</f>
        <v>0</v>
      </c>
      <c r="I66" s="276">
        <f t="shared" si="77"/>
        <v>0</v>
      </c>
      <c r="J66" s="276">
        <f t="shared" ref="J66:M66" si="78">SUM(J29:J35)-J36</f>
        <v>0</v>
      </c>
      <c r="K66" s="276">
        <f t="shared" si="78"/>
        <v>0</v>
      </c>
      <c r="L66" s="276">
        <f t="shared" si="78"/>
        <v>0</v>
      </c>
      <c r="M66" s="276">
        <f t="shared" si="78"/>
        <v>0</v>
      </c>
      <c r="O66" s="276">
        <f t="shared" ref="O66" si="79">SUM(O29:O35)-O36</f>
        <v>0</v>
      </c>
      <c r="P66" s="276">
        <f t="shared" ref="P66:Q66" si="80">SUM(P29:P35)-P36</f>
        <v>0</v>
      </c>
      <c r="Q66" s="276">
        <f t="shared" si="80"/>
        <v>0</v>
      </c>
      <c r="R66" s="276">
        <f t="shared" ref="R66:U66" si="81">SUM(R29:R35)-R36</f>
        <v>0</v>
      </c>
      <c r="S66" s="276">
        <f t="shared" si="81"/>
        <v>0</v>
      </c>
      <c r="T66" s="276">
        <f t="shared" si="81"/>
        <v>0</v>
      </c>
      <c r="U66" s="276">
        <f t="shared" si="81"/>
        <v>0</v>
      </c>
      <c r="W66" s="276">
        <f t="shared" ref="W66:AC66" si="82">SUM(W29:W35)-W36</f>
        <v>0</v>
      </c>
      <c r="X66" s="276">
        <f t="shared" ref="X66:Y66" si="83">SUM(X29:X35)-X36</f>
        <v>0</v>
      </c>
      <c r="Y66" s="276">
        <f t="shared" si="83"/>
        <v>0</v>
      </c>
      <c r="Z66" s="276">
        <f t="shared" si="82"/>
        <v>0</v>
      </c>
      <c r="AA66" s="276">
        <f t="shared" si="82"/>
        <v>0</v>
      </c>
      <c r="AB66" s="276">
        <f t="shared" si="82"/>
        <v>0.17199999999502324</v>
      </c>
      <c r="AC66" s="276">
        <f t="shared" si="82"/>
        <v>0.17199999999138527</v>
      </c>
      <c r="AE66" s="276">
        <f t="shared" ref="AE66:AK66" si="84">SUM(AE29:AE35)-AE36</f>
        <v>0</v>
      </c>
      <c r="AF66" s="276">
        <f t="shared" si="84"/>
        <v>0</v>
      </c>
      <c r="AG66" s="276">
        <f t="shared" si="84"/>
        <v>0</v>
      </c>
      <c r="AH66" s="276">
        <f t="shared" si="84"/>
        <v>0</v>
      </c>
      <c r="AI66" s="276">
        <f t="shared" si="84"/>
        <v>0</v>
      </c>
      <c r="AJ66" s="276">
        <f t="shared" si="84"/>
        <v>0</v>
      </c>
      <c r="AK66" s="276">
        <f t="shared" si="84"/>
        <v>0</v>
      </c>
      <c r="AM66" s="276">
        <f t="shared" ref="AM66:AS66" si="85">SUM(AM29:AM35)-AM36</f>
        <v>0</v>
      </c>
      <c r="AN66" s="276">
        <f t="shared" si="85"/>
        <v>0</v>
      </c>
      <c r="AO66" s="276">
        <f t="shared" si="85"/>
        <v>0</v>
      </c>
      <c r="AP66" s="276">
        <f t="shared" si="85"/>
        <v>0</v>
      </c>
      <c r="AQ66" s="276">
        <f t="shared" si="85"/>
        <v>0</v>
      </c>
      <c r="AR66" s="276">
        <f t="shared" si="85"/>
        <v>0</v>
      </c>
      <c r="AS66" s="276">
        <f t="shared" si="85"/>
        <v>0</v>
      </c>
      <c r="AU66" s="276">
        <f t="shared" ref="AU66:BA66" si="86">SUM(AU29:AU35)-AU36</f>
        <v>0</v>
      </c>
      <c r="AV66" s="276">
        <f t="shared" si="86"/>
        <v>0</v>
      </c>
      <c r="AW66" s="276">
        <f t="shared" si="86"/>
        <v>0</v>
      </c>
      <c r="AX66" s="276">
        <f t="shared" si="86"/>
        <v>0</v>
      </c>
      <c r="AY66" s="276">
        <f t="shared" si="86"/>
        <v>0</v>
      </c>
      <c r="AZ66" s="276">
        <f t="shared" si="86"/>
        <v>0</v>
      </c>
      <c r="BA66" s="276">
        <f t="shared" si="86"/>
        <v>0</v>
      </c>
      <c r="BC66" s="276">
        <f t="shared" ref="BC66:BI66" si="87">SUM(BC29:BC35)-BC36</f>
        <v>0</v>
      </c>
      <c r="BD66" s="276">
        <f t="shared" si="87"/>
        <v>0</v>
      </c>
      <c r="BE66" s="276">
        <f t="shared" si="87"/>
        <v>0</v>
      </c>
      <c r="BF66" s="276">
        <f t="shared" si="87"/>
        <v>0</v>
      </c>
      <c r="BG66" s="276">
        <f t="shared" si="87"/>
        <v>0</v>
      </c>
      <c r="BH66" s="276">
        <f t="shared" si="87"/>
        <v>0</v>
      </c>
      <c r="BI66" s="276">
        <f t="shared" si="87"/>
        <v>0</v>
      </c>
      <c r="BK66" s="276">
        <f t="shared" ref="BK66:BQ66" si="88">SUM(BK29:BK35)-BK36</f>
        <v>0</v>
      </c>
      <c r="BL66" s="276">
        <f t="shared" si="88"/>
        <v>0</v>
      </c>
      <c r="BM66" s="276">
        <f t="shared" si="88"/>
        <v>0</v>
      </c>
      <c r="BN66" s="276">
        <f t="shared" si="88"/>
        <v>0</v>
      </c>
      <c r="BO66" s="276">
        <f t="shared" si="88"/>
        <v>0</v>
      </c>
      <c r="BP66" s="276">
        <f t="shared" si="88"/>
        <v>0</v>
      </c>
      <c r="BQ66" s="276">
        <f t="shared" si="88"/>
        <v>0</v>
      </c>
      <c r="BS66" s="276">
        <f t="shared" ref="BS66:BY66" si="89">SUM(BS29:BS35)-BS36</f>
        <v>0</v>
      </c>
      <c r="BT66" s="276">
        <f t="shared" si="89"/>
        <v>0</v>
      </c>
      <c r="BU66" s="276">
        <f t="shared" si="89"/>
        <v>0</v>
      </c>
      <c r="BV66" s="276">
        <f t="shared" si="89"/>
        <v>0</v>
      </c>
      <c r="BW66" s="276">
        <f t="shared" si="89"/>
        <v>0</v>
      </c>
      <c r="BX66" s="276">
        <f t="shared" si="89"/>
        <v>0</v>
      </c>
      <c r="BY66" s="276">
        <f t="shared" si="89"/>
        <v>0</v>
      </c>
      <c r="CA66" s="276">
        <f>SUM(CA29:CA35)-CA36</f>
        <v>0</v>
      </c>
      <c r="CB66" s="276">
        <f>SUM(CB29:CB35)-CB36</f>
        <v>0</v>
      </c>
      <c r="CC66" s="276">
        <f>SUM(CC29:CC35)-CC36</f>
        <v>0</v>
      </c>
    </row>
    <row r="67" spans="1:81" s="95" customFormat="1" outlineLevel="1" x14ac:dyDescent="0.25">
      <c r="A67" s="4"/>
      <c r="B67" s="277" t="s">
        <v>147</v>
      </c>
      <c r="E67" s="276">
        <f t="shared" ref="E67:G67" si="90">SUM(E36:E43)-E44</f>
        <v>0</v>
      </c>
      <c r="G67" s="276">
        <f t="shared" si="90"/>
        <v>0</v>
      </c>
      <c r="H67" s="276">
        <f t="shared" ref="H67:I67" si="91">SUM(H36:H43)-H44</f>
        <v>0</v>
      </c>
      <c r="I67" s="276">
        <f t="shared" si="91"/>
        <v>1</v>
      </c>
      <c r="J67" s="276">
        <f t="shared" ref="J67:M67" si="92">SUM(J36:J43)-J44</f>
        <v>0</v>
      </c>
      <c r="K67" s="276">
        <f t="shared" si="92"/>
        <v>1</v>
      </c>
      <c r="L67" s="276">
        <f t="shared" si="92"/>
        <v>0</v>
      </c>
      <c r="M67" s="276">
        <f t="shared" si="92"/>
        <v>0</v>
      </c>
      <c r="O67" s="276">
        <f t="shared" ref="O67" si="93">SUM(O36:O43)-O44</f>
        <v>0</v>
      </c>
      <c r="P67" s="276">
        <f t="shared" ref="P67:Q67" si="94">SUM(P36:P43)-P44</f>
        <v>0</v>
      </c>
      <c r="Q67" s="276">
        <f t="shared" si="94"/>
        <v>0</v>
      </c>
      <c r="R67" s="276">
        <f t="shared" ref="R67:U67" si="95">SUM(R36:R43)-R44</f>
        <v>0</v>
      </c>
      <c r="S67" s="276">
        <f t="shared" si="95"/>
        <v>0</v>
      </c>
      <c r="T67" s="276">
        <f t="shared" si="95"/>
        <v>0</v>
      </c>
      <c r="U67" s="276">
        <f t="shared" si="95"/>
        <v>0</v>
      </c>
      <c r="W67" s="276">
        <f t="shared" ref="W67:AC67" si="96">SUM(W36:W43)-W44</f>
        <v>0</v>
      </c>
      <c r="X67" s="276">
        <f t="shared" ref="X67:Y67" si="97">SUM(X36:X43)-X44</f>
        <v>0</v>
      </c>
      <c r="Y67" s="276">
        <f t="shared" si="97"/>
        <v>0</v>
      </c>
      <c r="Z67" s="276">
        <f t="shared" si="96"/>
        <v>0</v>
      </c>
      <c r="AA67" s="276">
        <f t="shared" si="96"/>
        <v>0</v>
      </c>
      <c r="AB67" s="276">
        <f t="shared" si="96"/>
        <v>0</v>
      </c>
      <c r="AC67" s="276">
        <f t="shared" si="96"/>
        <v>0</v>
      </c>
      <c r="AE67" s="276">
        <f t="shared" ref="AE67:AK67" si="98">SUM(AE36:AE43)-AE44</f>
        <v>0</v>
      </c>
      <c r="AF67" s="276">
        <f t="shared" si="98"/>
        <v>0</v>
      </c>
      <c r="AG67" s="276">
        <f t="shared" si="98"/>
        <v>0</v>
      </c>
      <c r="AH67" s="276">
        <f t="shared" si="98"/>
        <v>0</v>
      </c>
      <c r="AI67" s="276">
        <f t="shared" si="98"/>
        <v>0</v>
      </c>
      <c r="AJ67" s="276">
        <f t="shared" si="98"/>
        <v>0</v>
      </c>
      <c r="AK67" s="276">
        <f t="shared" si="98"/>
        <v>0</v>
      </c>
      <c r="AM67" s="276">
        <f t="shared" ref="AM67:AS67" si="99">SUM(AM36:AM43)-AM44</f>
        <v>0</v>
      </c>
      <c r="AN67" s="276">
        <f t="shared" si="99"/>
        <v>0</v>
      </c>
      <c r="AO67" s="276">
        <f t="shared" si="99"/>
        <v>0</v>
      </c>
      <c r="AP67" s="276">
        <f t="shared" si="99"/>
        <v>0</v>
      </c>
      <c r="AQ67" s="276">
        <f t="shared" si="99"/>
        <v>0</v>
      </c>
      <c r="AR67" s="276">
        <f t="shared" si="99"/>
        <v>0</v>
      </c>
      <c r="AS67" s="276">
        <f t="shared" si="99"/>
        <v>0</v>
      </c>
      <c r="AU67" s="276">
        <f t="shared" ref="AU67:BA67" si="100">SUM(AU36:AU43)-AU44</f>
        <v>0</v>
      </c>
      <c r="AV67" s="276">
        <f t="shared" si="100"/>
        <v>0</v>
      </c>
      <c r="AW67" s="276">
        <f t="shared" si="100"/>
        <v>0</v>
      </c>
      <c r="AX67" s="276">
        <f t="shared" si="100"/>
        <v>0</v>
      </c>
      <c r="AY67" s="276">
        <f t="shared" si="100"/>
        <v>0</v>
      </c>
      <c r="AZ67" s="276">
        <f t="shared" si="100"/>
        <v>0</v>
      </c>
      <c r="BA67" s="276">
        <f t="shared" si="100"/>
        <v>0</v>
      </c>
      <c r="BC67" s="276">
        <f t="shared" ref="BC67:BI67" si="101">SUM(BC36:BC43)-BC44</f>
        <v>0</v>
      </c>
      <c r="BD67" s="276">
        <f t="shared" si="101"/>
        <v>0</v>
      </c>
      <c r="BE67" s="276">
        <f t="shared" si="101"/>
        <v>0</v>
      </c>
      <c r="BF67" s="276">
        <f t="shared" si="101"/>
        <v>0</v>
      </c>
      <c r="BG67" s="276">
        <f t="shared" si="101"/>
        <v>0</v>
      </c>
      <c r="BH67" s="276">
        <f t="shared" si="101"/>
        <v>0</v>
      </c>
      <c r="BI67" s="276">
        <f t="shared" si="101"/>
        <v>0</v>
      </c>
      <c r="BK67" s="276">
        <f t="shared" ref="BK67:BQ67" si="102">SUM(BK36:BK43)-BK44</f>
        <v>0</v>
      </c>
      <c r="BL67" s="276">
        <f t="shared" si="102"/>
        <v>0</v>
      </c>
      <c r="BM67" s="276">
        <f t="shared" si="102"/>
        <v>0</v>
      </c>
      <c r="BN67" s="276">
        <f t="shared" si="102"/>
        <v>0</v>
      </c>
      <c r="BO67" s="276">
        <f t="shared" si="102"/>
        <v>0</v>
      </c>
      <c r="BP67" s="276">
        <f t="shared" si="102"/>
        <v>0</v>
      </c>
      <c r="BQ67" s="276">
        <f t="shared" si="102"/>
        <v>0</v>
      </c>
      <c r="BS67" s="276">
        <f t="shared" ref="BS67:BY67" si="103">SUM(BS36:BS43)-BS44</f>
        <v>0</v>
      </c>
      <c r="BT67" s="276">
        <f t="shared" si="103"/>
        <v>0</v>
      </c>
      <c r="BU67" s="276">
        <f t="shared" si="103"/>
        <v>0</v>
      </c>
      <c r="BV67" s="276">
        <f t="shared" si="103"/>
        <v>0</v>
      </c>
      <c r="BW67" s="276">
        <f t="shared" si="103"/>
        <v>0</v>
      </c>
      <c r="BX67" s="276">
        <f t="shared" si="103"/>
        <v>0</v>
      </c>
      <c r="BY67" s="276">
        <f t="shared" si="103"/>
        <v>0</v>
      </c>
      <c r="CA67" s="276">
        <f>SUM(CA36:CA43)-CA44</f>
        <v>0</v>
      </c>
      <c r="CB67" s="276">
        <f>SUM(CB36:CB43)-CB44</f>
        <v>0</v>
      </c>
      <c r="CC67" s="276">
        <f>SUM(CC36:CC43)-CC44</f>
        <v>0</v>
      </c>
    </row>
    <row r="68" spans="1:81" s="95" customFormat="1" outlineLevel="1" x14ac:dyDescent="0.25">
      <c r="A68" s="4"/>
      <c r="B68" s="277" t="s">
        <v>39</v>
      </c>
      <c r="E68" s="276">
        <f t="shared" ref="E68:G68" si="104">SUM(E49:E50)-E51</f>
        <v>0</v>
      </c>
      <c r="G68" s="276">
        <f t="shared" si="104"/>
        <v>0</v>
      </c>
      <c r="H68" s="276">
        <f t="shared" ref="H68:I68" si="105">SUM(H49:H50)-H51</f>
        <v>0</v>
      </c>
      <c r="I68" s="276">
        <f t="shared" si="105"/>
        <v>0</v>
      </c>
      <c r="J68" s="276">
        <f t="shared" ref="J68:M68" si="106">SUM(J49:J50)-J51</f>
        <v>0</v>
      </c>
      <c r="K68" s="276">
        <f t="shared" si="106"/>
        <v>0</v>
      </c>
      <c r="L68" s="276">
        <f t="shared" si="106"/>
        <v>0</v>
      </c>
      <c r="M68" s="276">
        <f t="shared" si="106"/>
        <v>0</v>
      </c>
      <c r="O68" s="276">
        <f t="shared" ref="O68" si="107">SUM(O49:O50)-O51</f>
        <v>0</v>
      </c>
      <c r="P68" s="276">
        <f t="shared" ref="P68:Q68" si="108">SUM(P49:P50)-P51</f>
        <v>0</v>
      </c>
      <c r="Q68" s="276">
        <f t="shared" si="108"/>
        <v>0</v>
      </c>
      <c r="R68" s="276">
        <f t="shared" ref="R68:U68" si="109">SUM(R49:R50)-R51</f>
        <v>0</v>
      </c>
      <c r="S68" s="276">
        <f t="shared" si="109"/>
        <v>0</v>
      </c>
      <c r="T68" s="276">
        <f t="shared" si="109"/>
        <v>0</v>
      </c>
      <c r="U68" s="276">
        <f t="shared" si="109"/>
        <v>0</v>
      </c>
      <c r="W68" s="276">
        <f t="shared" ref="W68:AC68" si="110">SUM(W49:W50)-W51</f>
        <v>0</v>
      </c>
      <c r="X68" s="276">
        <f t="shared" ref="X68:Y68" si="111">SUM(X49:X50)-X51</f>
        <v>0</v>
      </c>
      <c r="Y68" s="276">
        <f t="shared" si="111"/>
        <v>0</v>
      </c>
      <c r="Z68" s="276">
        <f t="shared" si="110"/>
        <v>0</v>
      </c>
      <c r="AA68" s="276">
        <f t="shared" si="110"/>
        <v>0</v>
      </c>
      <c r="AB68" s="276">
        <f t="shared" si="110"/>
        <v>0</v>
      </c>
      <c r="AC68" s="276">
        <f t="shared" si="110"/>
        <v>0</v>
      </c>
      <c r="AE68" s="276">
        <f t="shared" ref="AE68:AF68" si="112">SUM(AE49:AE50)-AE51</f>
        <v>0</v>
      </c>
      <c r="AF68" s="276">
        <f t="shared" si="112"/>
        <v>0</v>
      </c>
      <c r="AG68" s="276">
        <f t="shared" ref="AG68:AH68" si="113">SUM(AG49:AG50)-AG51</f>
        <v>0</v>
      </c>
      <c r="AH68" s="276">
        <f t="shared" si="113"/>
        <v>0</v>
      </c>
      <c r="AI68" s="276">
        <f t="shared" ref="AI68:AK68" si="114">SUM(AI49:AI50)-AI51</f>
        <v>0</v>
      </c>
      <c r="AJ68" s="276">
        <f t="shared" ref="AJ68" si="115">SUM(AJ49:AJ50)-AJ51</f>
        <v>0</v>
      </c>
      <c r="AK68" s="276">
        <f t="shared" si="114"/>
        <v>0</v>
      </c>
      <c r="AM68" s="276">
        <f t="shared" ref="AM68:AS68" si="116">SUM(AM49:AM50)-AM51</f>
        <v>0</v>
      </c>
      <c r="AN68" s="276">
        <f t="shared" si="116"/>
        <v>0</v>
      </c>
      <c r="AO68" s="276">
        <f t="shared" si="116"/>
        <v>0</v>
      </c>
      <c r="AP68" s="276">
        <f t="shared" si="116"/>
        <v>0</v>
      </c>
      <c r="AQ68" s="276">
        <f t="shared" si="116"/>
        <v>0</v>
      </c>
      <c r="AR68" s="276">
        <f t="shared" si="116"/>
        <v>0</v>
      </c>
      <c r="AS68" s="276">
        <f t="shared" si="116"/>
        <v>0</v>
      </c>
      <c r="AU68" s="276">
        <f t="shared" ref="AU68:BA68" si="117">SUM(AU49:AU50)-AU51</f>
        <v>0</v>
      </c>
      <c r="AV68" s="276">
        <f t="shared" si="117"/>
        <v>0</v>
      </c>
      <c r="AW68" s="276">
        <f t="shared" si="117"/>
        <v>0</v>
      </c>
      <c r="AX68" s="276">
        <f t="shared" si="117"/>
        <v>0</v>
      </c>
      <c r="AY68" s="276">
        <f t="shared" si="117"/>
        <v>0</v>
      </c>
      <c r="AZ68" s="276">
        <f t="shared" si="117"/>
        <v>0</v>
      </c>
      <c r="BA68" s="276">
        <f t="shared" si="117"/>
        <v>0</v>
      </c>
      <c r="BC68" s="276">
        <f t="shared" ref="BC68:BI68" si="118">SUM(BC49:BC50)-BC51</f>
        <v>0</v>
      </c>
      <c r="BD68" s="276">
        <f t="shared" si="118"/>
        <v>0</v>
      </c>
      <c r="BE68" s="276">
        <f t="shared" si="118"/>
        <v>0</v>
      </c>
      <c r="BF68" s="276">
        <f t="shared" si="118"/>
        <v>0</v>
      </c>
      <c r="BG68" s="276">
        <f t="shared" si="118"/>
        <v>0</v>
      </c>
      <c r="BH68" s="276">
        <f t="shared" si="118"/>
        <v>0</v>
      </c>
      <c r="BI68" s="276">
        <f t="shared" si="118"/>
        <v>0</v>
      </c>
      <c r="BK68" s="276">
        <f t="shared" ref="BK68:BQ68" si="119">SUM(BK49:BK50)-BK51</f>
        <v>0</v>
      </c>
      <c r="BL68" s="276">
        <f t="shared" si="119"/>
        <v>0</v>
      </c>
      <c r="BM68" s="276">
        <f t="shared" si="119"/>
        <v>0</v>
      </c>
      <c r="BN68" s="276">
        <f t="shared" si="119"/>
        <v>0</v>
      </c>
      <c r="BO68" s="276">
        <f t="shared" si="119"/>
        <v>0</v>
      </c>
      <c r="BP68" s="276">
        <f t="shared" si="119"/>
        <v>0</v>
      </c>
      <c r="BQ68" s="276">
        <f t="shared" si="119"/>
        <v>0</v>
      </c>
      <c r="BS68" s="276">
        <f t="shared" ref="BS68:BY68" si="120">SUM(BS49:BS50)-BS51</f>
        <v>0</v>
      </c>
      <c r="BT68" s="276">
        <f t="shared" si="120"/>
        <v>0</v>
      </c>
      <c r="BU68" s="276">
        <f t="shared" si="120"/>
        <v>0</v>
      </c>
      <c r="BV68" s="276">
        <f t="shared" si="120"/>
        <v>0</v>
      </c>
      <c r="BW68" s="276">
        <f t="shared" si="120"/>
        <v>0</v>
      </c>
      <c r="BX68" s="276">
        <f t="shared" si="120"/>
        <v>0</v>
      </c>
      <c r="BY68" s="276">
        <f t="shared" si="120"/>
        <v>0</v>
      </c>
      <c r="CA68" s="276">
        <f t="shared" ref="CA68:CC68" si="121">SUM(CA49:CA50)-CA51</f>
        <v>0</v>
      </c>
      <c r="CB68" s="276">
        <f t="shared" si="121"/>
        <v>0</v>
      </c>
      <c r="CC68" s="276">
        <f t="shared" si="121"/>
        <v>0</v>
      </c>
    </row>
    <row r="69" spans="1:81" s="95" customFormat="1" outlineLevel="1" x14ac:dyDescent="0.25">
      <c r="A69" s="4"/>
      <c r="B69" s="277" t="s">
        <v>40</v>
      </c>
      <c r="E69" s="276">
        <f t="shared" ref="E69" si="122">E47-E51-E53</f>
        <v>-7.000012556090951E-5</v>
      </c>
      <c r="G69" s="276">
        <f t="shared" ref="G69:M69" si="123">G47-G51-G53</f>
        <v>-1.070000056643039E-3</v>
      </c>
      <c r="H69" s="276">
        <f t="shared" si="123"/>
        <v>0</v>
      </c>
      <c r="I69" s="276">
        <f t="shared" si="123"/>
        <v>-7.0000009145587683E-5</v>
      </c>
      <c r="J69" s="276">
        <f t="shared" si="123"/>
        <v>0</v>
      </c>
      <c r="K69" s="276">
        <f t="shared" si="123"/>
        <v>-7.0000009145587683E-5</v>
      </c>
      <c r="L69" s="276">
        <f t="shared" si="123"/>
        <v>0</v>
      </c>
      <c r="M69" s="276">
        <f t="shared" si="123"/>
        <v>-7.0000067353248596E-5</v>
      </c>
      <c r="O69" s="276">
        <f t="shared" ref="O69:U69" si="124">O47-O51-O53</f>
        <v>0</v>
      </c>
      <c r="P69" s="276">
        <f t="shared" si="124"/>
        <v>0</v>
      </c>
      <c r="Q69" s="276">
        <f t="shared" si="124"/>
        <v>0</v>
      </c>
      <c r="R69" s="276">
        <f t="shared" si="124"/>
        <v>0</v>
      </c>
      <c r="S69" s="276">
        <f t="shared" si="124"/>
        <v>0</v>
      </c>
      <c r="T69" s="276">
        <f t="shared" si="124"/>
        <v>0</v>
      </c>
      <c r="U69" s="276">
        <f t="shared" si="124"/>
        <v>0</v>
      </c>
      <c r="W69" s="276">
        <f t="shared" ref="W69:AC69" si="125">W47-W51-W53</f>
        <v>0</v>
      </c>
      <c r="X69" s="276">
        <f t="shared" ref="X69:Y69" si="126">X47-X51-X53</f>
        <v>0</v>
      </c>
      <c r="Y69" s="276">
        <f t="shared" si="126"/>
        <v>0</v>
      </c>
      <c r="Z69" s="276">
        <f t="shared" si="125"/>
        <v>0</v>
      </c>
      <c r="AA69" s="276">
        <f t="shared" si="125"/>
        <v>1.9299999112263322E-3</v>
      </c>
      <c r="AB69" s="276">
        <f t="shared" si="125"/>
        <v>0</v>
      </c>
      <c r="AC69" s="276">
        <f t="shared" si="125"/>
        <v>-2.0700000459328294E-3</v>
      </c>
      <c r="AE69" s="276">
        <f t="shared" ref="AE69:AF69" si="127">AE47-AE51-AE53</f>
        <v>0</v>
      </c>
      <c r="AF69" s="276">
        <f t="shared" si="127"/>
        <v>0</v>
      </c>
      <c r="AG69" s="276">
        <f t="shared" ref="AG69:AH69" si="128">AG47-AG51-AG53</f>
        <v>0</v>
      </c>
      <c r="AH69" s="276">
        <f t="shared" si="128"/>
        <v>0</v>
      </c>
      <c r="AI69" s="276">
        <f t="shared" ref="AI69:AK69" si="129">AI47-AI51-AI53</f>
        <v>0</v>
      </c>
      <c r="AJ69" s="276">
        <f t="shared" ref="AJ69" si="130">AJ47-AJ51-AJ53</f>
        <v>0</v>
      </c>
      <c r="AK69" s="276">
        <f t="shared" si="129"/>
        <v>0</v>
      </c>
      <c r="AM69" s="276">
        <f t="shared" ref="AM69:AS69" si="131">AM47-AM51-AM53</f>
        <v>0</v>
      </c>
      <c r="AN69" s="276">
        <f t="shared" si="131"/>
        <v>0</v>
      </c>
      <c r="AO69" s="276">
        <f t="shared" si="131"/>
        <v>0</v>
      </c>
      <c r="AP69" s="276">
        <f t="shared" si="131"/>
        <v>0</v>
      </c>
      <c r="AQ69" s="276">
        <f t="shared" si="131"/>
        <v>0</v>
      </c>
      <c r="AR69" s="276">
        <f t="shared" si="131"/>
        <v>0</v>
      </c>
      <c r="AS69" s="276">
        <f t="shared" si="131"/>
        <v>0</v>
      </c>
      <c r="AU69" s="276">
        <f t="shared" ref="AU69:BA69" si="132">AU47-AU51-AU53</f>
        <v>0</v>
      </c>
      <c r="AV69" s="276">
        <f t="shared" si="132"/>
        <v>0</v>
      </c>
      <c r="AW69" s="276">
        <f t="shared" si="132"/>
        <v>0</v>
      </c>
      <c r="AX69" s="276">
        <f t="shared" si="132"/>
        <v>0</v>
      </c>
      <c r="AY69" s="276">
        <f t="shared" si="132"/>
        <v>0</v>
      </c>
      <c r="AZ69" s="276">
        <f t="shared" si="132"/>
        <v>0</v>
      </c>
      <c r="BA69" s="276">
        <f t="shared" si="132"/>
        <v>0</v>
      </c>
      <c r="BC69" s="276">
        <f t="shared" ref="BC69:BI69" si="133">BC47-BC51-BC53</f>
        <v>0</v>
      </c>
      <c r="BD69" s="276">
        <f t="shared" si="133"/>
        <v>0</v>
      </c>
      <c r="BE69" s="276">
        <f t="shared" si="133"/>
        <v>0</v>
      </c>
      <c r="BF69" s="276">
        <f t="shared" si="133"/>
        <v>0</v>
      </c>
      <c r="BG69" s="276">
        <f t="shared" si="133"/>
        <v>0</v>
      </c>
      <c r="BH69" s="276">
        <f t="shared" si="133"/>
        <v>0</v>
      </c>
      <c r="BI69" s="276">
        <f t="shared" si="133"/>
        <v>0</v>
      </c>
      <c r="BK69" s="276">
        <f t="shared" ref="BK69:BQ69" si="134">BK47-BK51-BK53</f>
        <v>0</v>
      </c>
      <c r="BL69" s="276">
        <f t="shared" si="134"/>
        <v>0</v>
      </c>
      <c r="BM69" s="276">
        <f t="shared" si="134"/>
        <v>0</v>
      </c>
      <c r="BN69" s="276">
        <f t="shared" si="134"/>
        <v>0</v>
      </c>
      <c r="BO69" s="276">
        <f t="shared" si="134"/>
        <v>0</v>
      </c>
      <c r="BP69" s="276">
        <f t="shared" si="134"/>
        <v>0</v>
      </c>
      <c r="BQ69" s="276">
        <f t="shared" si="134"/>
        <v>0</v>
      </c>
      <c r="BS69" s="276">
        <f t="shared" ref="BS69:BY69" si="135">BS47-BS51-BS53</f>
        <v>0</v>
      </c>
      <c r="BT69" s="276">
        <f t="shared" si="135"/>
        <v>0</v>
      </c>
      <c r="BU69" s="276">
        <f t="shared" si="135"/>
        <v>0</v>
      </c>
      <c r="BV69" s="276">
        <f t="shared" si="135"/>
        <v>0</v>
      </c>
      <c r="BW69" s="276">
        <f t="shared" si="135"/>
        <v>0</v>
      </c>
      <c r="BX69" s="276">
        <f t="shared" si="135"/>
        <v>0</v>
      </c>
      <c r="BY69" s="276">
        <f t="shared" si="135"/>
        <v>0</v>
      </c>
      <c r="CA69" s="276">
        <f t="shared" ref="CA69:CC69" si="136">CA47-CA51-CA53</f>
        <v>0</v>
      </c>
      <c r="CB69" s="276">
        <f t="shared" si="136"/>
        <v>0</v>
      </c>
      <c r="CC69" s="276">
        <f t="shared" si="136"/>
        <v>0</v>
      </c>
    </row>
    <row r="70" spans="1:81" x14ac:dyDescent="0.25">
      <c r="A70" s="95" t="s">
        <v>225</v>
      </c>
    </row>
    <row r="71" spans="1:81" x14ac:dyDescent="0.25">
      <c r="A71" s="4" t="s">
        <v>226</v>
      </c>
    </row>
    <row r="72" spans="1:81" x14ac:dyDescent="0.25">
      <c r="A72" s="4" t="s">
        <v>227</v>
      </c>
    </row>
    <row r="73" spans="1:81" x14ac:dyDescent="0.25">
      <c r="A73" s="4" t="s">
        <v>228</v>
      </c>
    </row>
  </sheetData>
  <mergeCells count="10">
    <mergeCell ref="CA14:CC14"/>
    <mergeCell ref="BS14:BY14"/>
    <mergeCell ref="BK14:BQ14"/>
    <mergeCell ref="BC14:BI14"/>
    <mergeCell ref="AU14:BA14"/>
    <mergeCell ref="G14:M14"/>
    <mergeCell ref="O14:U14"/>
    <mergeCell ref="W14:AC14"/>
    <mergeCell ref="AE14:AK14"/>
    <mergeCell ref="AM14:AS14"/>
  </mergeCells>
  <pageMargins left="0.7" right="0.7" top="0.75" bottom="0.75" header="0.3" footer="0.3"/>
  <pageSetup scale="1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C73"/>
  <sheetViews>
    <sheetView showGridLines="0" topLeftCell="B1" workbookViewId="0">
      <selection activeCell="B54" sqref="B54"/>
    </sheetView>
  </sheetViews>
  <sheetFormatPr defaultColWidth="9.140625" defaultRowHeight="15" outlineLevelRow="1" outlineLevelCol="1" x14ac:dyDescent="0.25"/>
  <cols>
    <col min="1" max="1" width="6" style="310" hidden="1" customWidth="1" outlineLevel="1"/>
    <col min="2" max="2" width="40.140625" style="310" bestFit="1" customWidth="1" collapsed="1"/>
    <col min="3" max="3" width="12.5703125" style="310" customWidth="1"/>
    <col min="4" max="4" width="1.42578125" style="310" customWidth="1"/>
    <col min="5" max="5" width="8.7109375" style="310" customWidth="1"/>
    <col min="6" max="6" width="1.42578125" style="310" customWidth="1"/>
    <col min="7" max="7" width="9.140625" style="310" bestFit="1" customWidth="1"/>
    <col min="8" max="8" width="8.85546875" style="310" bestFit="1" customWidth="1"/>
    <col min="9" max="9" width="9.140625" style="310" bestFit="1" customWidth="1"/>
    <col min="10" max="10" width="8.7109375" style="310" bestFit="1" customWidth="1"/>
    <col min="11" max="11" width="9.140625" style="310" bestFit="1" customWidth="1"/>
    <col min="12" max="13" width="10.28515625" style="310" bestFit="1" customWidth="1"/>
    <col min="14" max="14" width="2.28515625" style="310" customWidth="1"/>
    <col min="15" max="20" width="9.7109375" style="310" customWidth="1"/>
    <col min="21" max="21" width="11.5703125" style="310" customWidth="1"/>
    <col min="22" max="22" width="1.42578125" style="310" customWidth="1"/>
    <col min="23" max="28" width="9.7109375" style="310" customWidth="1"/>
    <col min="29" max="29" width="11.5703125" style="310" customWidth="1"/>
    <col min="30" max="30" width="1.42578125" style="310" customWidth="1"/>
    <col min="31" max="36" width="9.7109375" style="310" customWidth="1"/>
    <col min="37" max="37" width="11.5703125" style="310" customWidth="1"/>
    <col min="38" max="38" width="3.140625" style="310" customWidth="1"/>
    <col min="39" max="39" width="9.7109375" style="310" customWidth="1"/>
    <col min="40" max="45" width="11.28515625" style="310" customWidth="1"/>
    <col min="46" max="46" width="3.140625" style="310" customWidth="1"/>
    <col min="47" max="53" width="12.5703125" style="310" customWidth="1"/>
    <col min="54" max="54" width="4" style="310" customWidth="1"/>
    <col min="55" max="56" width="9" style="310" bestFit="1" customWidth="1"/>
    <col min="57" max="57" width="8" style="310" bestFit="1" customWidth="1"/>
    <col min="58" max="59" width="9" style="310" bestFit="1" customWidth="1"/>
    <col min="60" max="60" width="9.5703125" style="310" bestFit="1" customWidth="1"/>
    <col min="61" max="61" width="9" style="310" bestFit="1" customWidth="1"/>
    <col min="62" max="62" width="4.28515625" style="310" customWidth="1"/>
    <col min="63" max="64" width="9" style="310" bestFit="1" customWidth="1"/>
    <col min="65" max="65" width="8" style="310" bestFit="1" customWidth="1"/>
    <col min="66" max="66" width="9" style="310" bestFit="1" customWidth="1"/>
    <col min="67" max="67" width="8" style="310" bestFit="1" customWidth="1"/>
    <col min="68" max="68" width="8.5703125" style="310" bestFit="1" customWidth="1"/>
    <col min="69" max="69" width="9" style="310" bestFit="1" customWidth="1"/>
    <col min="70" max="70" width="3.7109375" style="310" customWidth="1"/>
    <col min="71" max="71" width="9" style="310" bestFit="1" customWidth="1"/>
    <col min="72" max="72" width="9" style="274" bestFit="1" customWidth="1"/>
    <col min="73" max="73" width="8" style="274" bestFit="1" customWidth="1"/>
    <col min="74" max="74" width="9" style="310" bestFit="1" customWidth="1"/>
    <col min="75" max="75" width="8.5703125" style="310" bestFit="1" customWidth="1"/>
    <col min="76" max="16384" width="9.140625" style="310"/>
  </cols>
  <sheetData>
    <row r="1" spans="2:81" ht="17.25" x14ac:dyDescent="0.4">
      <c r="B1" s="300" t="s">
        <v>150</v>
      </c>
      <c r="C1" s="455">
        <v>150.4</v>
      </c>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33"/>
      <c r="BM1" s="333"/>
      <c r="BN1" s="333"/>
      <c r="BO1" s="333"/>
      <c r="BP1" s="333"/>
      <c r="BQ1" s="333"/>
      <c r="BR1" s="274"/>
      <c r="BS1" s="314"/>
      <c r="BT1" s="314"/>
      <c r="BU1" s="314"/>
      <c r="BV1" s="314"/>
      <c r="BW1" s="274"/>
    </row>
    <row r="2" spans="2:81" x14ac:dyDescent="0.25">
      <c r="B2" s="302" t="s">
        <v>42</v>
      </c>
      <c r="C2" s="530">
        <v>62.199999999999996</v>
      </c>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28"/>
      <c r="BC2" s="328"/>
      <c r="BD2" s="328"/>
      <c r="BE2" s="328"/>
      <c r="BF2" s="328"/>
      <c r="BG2" s="328"/>
      <c r="BH2" s="328"/>
      <c r="BI2" s="328"/>
      <c r="BJ2" s="328"/>
      <c r="BK2" s="328"/>
      <c r="BL2" s="328"/>
      <c r="BM2" s="328"/>
      <c r="BN2" s="328"/>
      <c r="BO2" s="328"/>
      <c r="BP2" s="328"/>
      <c r="BQ2" s="328"/>
      <c r="BR2" s="274"/>
      <c r="BS2" s="274"/>
      <c r="BV2" s="274"/>
      <c r="BW2" s="274"/>
    </row>
    <row r="3" spans="2:81" x14ac:dyDescent="0.25">
      <c r="B3" s="302" t="s">
        <v>43</v>
      </c>
      <c r="C3" s="530">
        <v>0.7</v>
      </c>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28"/>
      <c r="BC3" s="328"/>
      <c r="BD3" s="328"/>
      <c r="BE3" s="328"/>
      <c r="BF3" s="328"/>
      <c r="BG3" s="328"/>
      <c r="BH3" s="328"/>
      <c r="BI3" s="328"/>
      <c r="BJ3" s="328"/>
      <c r="BK3" s="328"/>
      <c r="BL3" s="328"/>
      <c r="BM3" s="328"/>
      <c r="BN3" s="328"/>
      <c r="BO3" s="328"/>
      <c r="BP3" s="328"/>
      <c r="BQ3" s="328"/>
      <c r="BR3" s="274"/>
      <c r="BS3" s="274"/>
      <c r="BV3" s="274"/>
      <c r="BW3" s="274"/>
    </row>
    <row r="4" spans="2:81" x14ac:dyDescent="0.25">
      <c r="B4" s="302" t="s">
        <v>44</v>
      </c>
      <c r="C4" s="530">
        <f>C1-C2-C3</f>
        <v>87.500000000000014</v>
      </c>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28"/>
      <c r="BC4" s="328"/>
      <c r="BD4" s="328"/>
      <c r="BE4" s="328"/>
      <c r="BF4" s="328"/>
      <c r="BG4" s="328"/>
      <c r="BH4" s="328"/>
      <c r="BI4" s="328"/>
      <c r="BJ4" s="328"/>
      <c r="BK4" s="328"/>
      <c r="BL4" s="328"/>
      <c r="BM4" s="328"/>
      <c r="BN4" s="328"/>
      <c r="BO4" s="328"/>
      <c r="BP4" s="328"/>
      <c r="BQ4" s="328"/>
      <c r="BR4" s="274"/>
      <c r="BS4" s="274"/>
      <c r="BT4" s="316"/>
      <c r="BU4" s="316"/>
      <c r="BV4" s="316"/>
      <c r="BW4" s="274"/>
    </row>
    <row r="5" spans="2:81" x14ac:dyDescent="0.25">
      <c r="B5" s="302"/>
      <c r="C5" s="303"/>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28"/>
      <c r="BC5" s="328"/>
      <c r="BD5" s="328"/>
      <c r="BE5" s="328"/>
      <c r="BF5" s="328"/>
      <c r="BG5" s="328"/>
      <c r="BH5" s="328"/>
      <c r="BI5" s="328"/>
      <c r="BJ5" s="328"/>
      <c r="BK5" s="328"/>
      <c r="BL5" s="328"/>
      <c r="BM5" s="328"/>
      <c r="BN5" s="328"/>
      <c r="BO5" s="328"/>
      <c r="BP5" s="328"/>
      <c r="BQ5" s="328"/>
      <c r="BR5" s="274"/>
      <c r="BS5" s="274"/>
      <c r="BT5" s="316"/>
      <c r="BU5" s="316"/>
      <c r="BV5" s="316"/>
      <c r="BW5" s="274"/>
    </row>
    <row r="6" spans="2:81" x14ac:dyDescent="0.25">
      <c r="B6" s="42" t="s">
        <v>152</v>
      </c>
      <c r="C6" s="206">
        <v>3</v>
      </c>
      <c r="D6" s="436"/>
      <c r="E6" s="436"/>
      <c r="F6" s="436"/>
      <c r="G6" s="436"/>
      <c r="H6" s="436"/>
      <c r="I6" s="436"/>
      <c r="J6" s="436"/>
      <c r="K6" s="436"/>
      <c r="L6" s="436"/>
      <c r="M6" s="436"/>
      <c r="N6" s="436"/>
      <c r="O6" s="436"/>
      <c r="P6" s="436"/>
      <c r="Q6" s="436"/>
      <c r="R6" s="436"/>
      <c r="S6" s="436"/>
      <c r="T6" s="436"/>
      <c r="U6" s="436"/>
      <c r="V6" s="436"/>
      <c r="W6" s="436"/>
      <c r="X6" s="436"/>
      <c r="Y6" s="436"/>
      <c r="Z6" s="436"/>
      <c r="AA6" s="436"/>
      <c r="AB6" s="436"/>
      <c r="AC6" s="436"/>
      <c r="AD6" s="436"/>
      <c r="AE6" s="436"/>
      <c r="AF6" s="436"/>
      <c r="AG6" s="436"/>
      <c r="AH6" s="436"/>
      <c r="AI6" s="436"/>
      <c r="AJ6" s="436"/>
      <c r="AK6" s="436"/>
      <c r="AL6" s="436"/>
      <c r="AM6" s="436"/>
      <c r="AN6" s="436"/>
      <c r="AO6" s="436"/>
      <c r="AP6" s="436"/>
      <c r="AQ6" s="436"/>
      <c r="AR6" s="436"/>
      <c r="AS6" s="436"/>
      <c r="AT6" s="436"/>
      <c r="AU6" s="436"/>
      <c r="AV6" s="436"/>
      <c r="AW6" s="436"/>
      <c r="AX6" s="436"/>
      <c r="AY6" s="436"/>
      <c r="AZ6" s="436"/>
      <c r="BA6" s="436"/>
      <c r="BB6" s="218"/>
      <c r="BC6" s="218"/>
      <c r="BD6" s="218"/>
      <c r="BE6" s="218"/>
      <c r="BF6" s="218"/>
      <c r="BG6" s="218"/>
      <c r="BH6" s="218"/>
      <c r="BI6" s="218"/>
      <c r="BJ6" s="218"/>
      <c r="BK6" s="328"/>
      <c r="BL6" s="328"/>
      <c r="BM6" s="328"/>
      <c r="BN6" s="328"/>
      <c r="BO6" s="328"/>
      <c r="BP6" s="328"/>
      <c r="BQ6" s="328"/>
      <c r="BR6" s="274"/>
      <c r="BS6" s="274"/>
      <c r="BT6" s="316"/>
      <c r="BU6" s="316"/>
      <c r="BV6" s="316"/>
      <c r="BW6" s="274"/>
    </row>
    <row r="7" spans="2:81" x14ac:dyDescent="0.25">
      <c r="B7" s="42" t="s">
        <v>158</v>
      </c>
      <c r="C7" s="339">
        <v>33.9</v>
      </c>
      <c r="D7" s="437"/>
      <c r="E7" s="437"/>
      <c r="F7" s="437"/>
      <c r="G7" s="354"/>
      <c r="H7" s="354"/>
      <c r="I7" s="354"/>
      <c r="J7" s="354"/>
      <c r="K7" s="354"/>
      <c r="L7" s="354"/>
      <c r="M7" s="354"/>
      <c r="N7" s="437"/>
      <c r="O7" s="305"/>
      <c r="P7" s="305"/>
      <c r="Q7" s="305"/>
      <c r="R7" s="305"/>
      <c r="S7" s="305"/>
      <c r="T7" s="305"/>
      <c r="U7" s="305"/>
      <c r="V7" s="437"/>
      <c r="W7" s="305"/>
      <c r="X7" s="305"/>
      <c r="Y7" s="305"/>
      <c r="Z7" s="305"/>
      <c r="AA7" s="305"/>
      <c r="AB7" s="305"/>
      <c r="AC7" s="305"/>
      <c r="AD7" s="437"/>
      <c r="AE7" s="305"/>
      <c r="AF7" s="305"/>
      <c r="AG7" s="305"/>
      <c r="AH7" s="305"/>
      <c r="AI7" s="305"/>
      <c r="AJ7" s="305"/>
      <c r="AK7" s="305"/>
      <c r="AL7" s="305"/>
      <c r="AM7" s="305"/>
      <c r="AN7" s="305"/>
      <c r="AO7" s="305"/>
      <c r="AP7" s="305"/>
      <c r="AQ7" s="305"/>
      <c r="AR7" s="305"/>
      <c r="AS7" s="305"/>
      <c r="AT7" s="437"/>
      <c r="AU7" s="328"/>
      <c r="AV7" s="328"/>
      <c r="AW7" s="328"/>
      <c r="AX7" s="328"/>
      <c r="AY7" s="328"/>
      <c r="AZ7" s="328"/>
      <c r="BA7" s="328"/>
      <c r="BB7" s="328"/>
      <c r="BC7" s="328"/>
      <c r="BD7" s="328"/>
      <c r="BE7" s="328"/>
      <c r="BF7" s="328"/>
      <c r="BG7" s="328"/>
      <c r="BH7" s="328"/>
      <c r="BI7" s="328"/>
      <c r="BJ7" s="346"/>
      <c r="BK7" s="218"/>
      <c r="BL7" s="218"/>
      <c r="BM7" s="218"/>
      <c r="BN7" s="218"/>
      <c r="BO7" s="218"/>
      <c r="BP7" s="218"/>
      <c r="BQ7" s="218"/>
      <c r="BR7" s="274"/>
      <c r="BS7" s="316"/>
      <c r="BT7" s="316"/>
      <c r="BU7" s="316"/>
      <c r="BV7" s="316"/>
      <c r="BW7" s="274"/>
    </row>
    <row r="8" spans="2:81" x14ac:dyDescent="0.25">
      <c r="B8" s="42" t="s">
        <v>160</v>
      </c>
      <c r="C8" s="303">
        <v>60.6</v>
      </c>
      <c r="D8" s="354"/>
      <c r="E8" s="354"/>
      <c r="F8" s="354"/>
      <c r="G8" s="354"/>
      <c r="H8" s="354"/>
      <c r="I8" s="354"/>
      <c r="J8" s="354"/>
      <c r="K8" s="354"/>
      <c r="L8" s="354"/>
      <c r="M8" s="354"/>
      <c r="N8" s="354"/>
      <c r="O8" s="354"/>
      <c r="P8" s="354"/>
      <c r="Q8" s="354"/>
      <c r="R8" s="354"/>
      <c r="S8" s="354"/>
      <c r="T8" s="354"/>
      <c r="U8" s="354"/>
      <c r="V8" s="354"/>
      <c r="W8" s="354"/>
      <c r="X8" s="354"/>
      <c r="Y8" s="354"/>
      <c r="Z8" s="354"/>
      <c r="AA8" s="354"/>
      <c r="AB8" s="354"/>
      <c r="AC8" s="354"/>
      <c r="AD8" s="354"/>
      <c r="AE8" s="354"/>
      <c r="AF8" s="354"/>
      <c r="AG8" s="354"/>
      <c r="AH8" s="354"/>
      <c r="AI8" s="354"/>
      <c r="AJ8" s="354"/>
      <c r="AK8" s="354"/>
      <c r="AL8" s="354"/>
      <c r="AM8" s="354"/>
      <c r="AN8" s="354"/>
      <c r="AO8" s="354"/>
      <c r="AP8" s="354"/>
      <c r="AQ8" s="354"/>
      <c r="AR8" s="354"/>
      <c r="AS8" s="354"/>
      <c r="AT8" s="354"/>
      <c r="AU8" s="354"/>
      <c r="AV8" s="354"/>
      <c r="AW8" s="354"/>
      <c r="AX8" s="354"/>
      <c r="AY8" s="354"/>
      <c r="AZ8" s="354"/>
      <c r="BA8" s="354"/>
      <c r="BB8" s="328"/>
      <c r="BC8" s="328"/>
      <c r="BD8" s="328"/>
      <c r="BE8" s="328"/>
      <c r="BF8" s="328"/>
      <c r="BG8" s="328"/>
      <c r="BH8" s="328"/>
      <c r="BI8" s="328"/>
      <c r="BJ8" s="328"/>
      <c r="BK8" s="218"/>
      <c r="BL8" s="218"/>
      <c r="BM8" s="218"/>
      <c r="BN8" s="218"/>
      <c r="BO8" s="218"/>
      <c r="BP8" s="218"/>
      <c r="BQ8" s="218"/>
      <c r="BR8" s="274"/>
      <c r="BS8" s="316"/>
      <c r="BT8" s="316"/>
      <c r="BU8" s="316"/>
      <c r="BV8" s="316"/>
      <c r="BW8" s="274"/>
    </row>
    <row r="9" spans="2:81" ht="15.75" thickBot="1" x14ac:dyDescent="0.3">
      <c r="B9" s="87" t="s">
        <v>240</v>
      </c>
      <c r="C9" s="337">
        <v>20.5</v>
      </c>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5"/>
      <c r="BK9" s="305"/>
      <c r="BL9" s="305"/>
      <c r="BM9" s="305"/>
      <c r="BN9" s="305"/>
      <c r="BO9" s="305"/>
      <c r="BP9" s="305"/>
      <c r="BQ9" s="305"/>
      <c r="BR9" s="274"/>
      <c r="BS9" s="316"/>
      <c r="BT9" s="316"/>
      <c r="BU9" s="316"/>
      <c r="BV9" s="274"/>
      <c r="BW9" s="274"/>
    </row>
    <row r="10" spans="2:81" x14ac:dyDescent="0.25">
      <c r="B10" s="304"/>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5"/>
      <c r="BK10" s="305"/>
      <c r="BL10" s="305"/>
      <c r="BM10" s="305"/>
      <c r="BN10" s="305"/>
      <c r="BO10" s="305"/>
      <c r="BP10" s="305"/>
      <c r="BQ10" s="305"/>
      <c r="BR10" s="274"/>
      <c r="BS10" s="316"/>
      <c r="BT10" s="316"/>
      <c r="BV10" s="274"/>
      <c r="BW10" s="274"/>
    </row>
    <row r="11" spans="2:81" x14ac:dyDescent="0.25">
      <c r="B11" s="304"/>
      <c r="C11" s="305"/>
      <c r="D11" s="305"/>
      <c r="E11" s="305"/>
      <c r="F11" s="305"/>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274"/>
      <c r="BS11" s="316"/>
      <c r="BT11" s="316"/>
      <c r="BV11" s="274"/>
      <c r="BW11" s="274"/>
    </row>
    <row r="12" spans="2:81" x14ac:dyDescent="0.25">
      <c r="B12" s="304"/>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274"/>
      <c r="BS12" s="316"/>
      <c r="BT12" s="316"/>
      <c r="BV12" s="274"/>
      <c r="BW12" s="274"/>
    </row>
    <row r="13" spans="2:81" ht="15.75" thickBot="1" x14ac:dyDescent="0.3">
      <c r="B13" s="304" t="str" cm="1">
        <f t="array" aca="1" ref="B13" ca="1">MID(CELL("filename",B1),FIND("]",CELL("filename",B1))+1,255)</f>
        <v>Velocity Outdoor</v>
      </c>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274"/>
      <c r="BS13" s="316"/>
      <c r="BT13" s="316"/>
      <c r="BV13" s="274"/>
      <c r="BW13" s="274"/>
    </row>
    <row r="14" spans="2:81" ht="15.75" thickBot="1" x14ac:dyDescent="0.3">
      <c r="B14" s="302"/>
      <c r="C14" s="274"/>
      <c r="D14" s="274"/>
      <c r="E14" s="737">
        <v>2026</v>
      </c>
      <c r="F14" s="274"/>
      <c r="G14" s="807">
        <v>2025</v>
      </c>
      <c r="H14" s="808"/>
      <c r="I14" s="808"/>
      <c r="J14" s="808"/>
      <c r="K14" s="808"/>
      <c r="L14" s="808"/>
      <c r="M14" s="809"/>
      <c r="N14" s="274"/>
      <c r="O14" s="807">
        <v>2024</v>
      </c>
      <c r="P14" s="808"/>
      <c r="Q14" s="808"/>
      <c r="R14" s="808"/>
      <c r="S14" s="808"/>
      <c r="T14" s="808"/>
      <c r="U14" s="809"/>
      <c r="V14" s="566"/>
      <c r="W14" s="807">
        <v>2023</v>
      </c>
      <c r="X14" s="808"/>
      <c r="Y14" s="808"/>
      <c r="Z14" s="808"/>
      <c r="AA14" s="808"/>
      <c r="AB14" s="808"/>
      <c r="AC14" s="809"/>
      <c r="AD14" s="566"/>
      <c r="AE14" s="807">
        <v>2022</v>
      </c>
      <c r="AF14" s="808"/>
      <c r="AG14" s="808"/>
      <c r="AH14" s="808"/>
      <c r="AI14" s="808"/>
      <c r="AJ14" s="808"/>
      <c r="AK14" s="809"/>
      <c r="AL14" s="519"/>
      <c r="AM14" s="828">
        <v>2021</v>
      </c>
      <c r="AN14" s="829"/>
      <c r="AO14" s="829"/>
      <c r="AP14" s="829"/>
      <c r="AQ14" s="829"/>
      <c r="AR14" s="829"/>
      <c r="AS14" s="830"/>
      <c r="AT14" s="274"/>
      <c r="AU14" s="825">
        <v>2020</v>
      </c>
      <c r="AV14" s="826"/>
      <c r="AW14" s="826"/>
      <c r="AX14" s="826"/>
      <c r="AY14" s="826"/>
      <c r="AZ14" s="826"/>
      <c r="BA14" s="827"/>
      <c r="BB14" s="274"/>
      <c r="BC14" s="822">
        <v>2019</v>
      </c>
      <c r="BD14" s="823"/>
      <c r="BE14" s="823"/>
      <c r="BF14" s="823"/>
      <c r="BG14" s="823"/>
      <c r="BH14" s="823"/>
      <c r="BI14" s="824"/>
      <c r="BJ14" s="274"/>
      <c r="BK14" s="822">
        <v>2018</v>
      </c>
      <c r="BL14" s="823"/>
      <c r="BM14" s="823"/>
      <c r="BN14" s="823"/>
      <c r="BO14" s="823"/>
      <c r="BP14" s="823"/>
      <c r="BQ14" s="824"/>
      <c r="BR14" s="329"/>
      <c r="BS14" s="822">
        <v>2017</v>
      </c>
      <c r="BT14" s="823"/>
      <c r="BU14" s="823"/>
      <c r="BV14" s="823"/>
      <c r="BW14" s="824"/>
    </row>
    <row r="15" spans="2:81" x14ac:dyDescent="0.25">
      <c r="B15" s="42"/>
      <c r="C15" s="274"/>
      <c r="D15" s="274"/>
      <c r="E15" s="728" t="s">
        <v>3</v>
      </c>
      <c r="F15" s="274"/>
      <c r="G15" s="521" t="s">
        <v>3</v>
      </c>
      <c r="H15" s="97" t="s">
        <v>4</v>
      </c>
      <c r="I15" s="97" t="s">
        <v>5</v>
      </c>
      <c r="J15" s="10" t="s">
        <v>6</v>
      </c>
      <c r="K15" s="10" t="s">
        <v>7</v>
      </c>
      <c r="L15" s="81" t="s">
        <v>8</v>
      </c>
      <c r="M15" s="82" t="s">
        <v>9</v>
      </c>
      <c r="N15" s="274"/>
      <c r="O15" s="521" t="s">
        <v>3</v>
      </c>
      <c r="P15" s="97" t="s">
        <v>4</v>
      </c>
      <c r="Q15" s="97" t="s">
        <v>5</v>
      </c>
      <c r="R15" s="10" t="s">
        <v>6</v>
      </c>
      <c r="S15" s="10" t="s">
        <v>7</v>
      </c>
      <c r="T15" s="81" t="s">
        <v>8</v>
      </c>
      <c r="U15" s="82" t="s">
        <v>9</v>
      </c>
      <c r="V15" s="476"/>
      <c r="W15" s="521" t="s">
        <v>3</v>
      </c>
      <c r="X15" s="97" t="s">
        <v>4</v>
      </c>
      <c r="Y15" s="97" t="s">
        <v>5</v>
      </c>
      <c r="Z15" s="10" t="s">
        <v>6</v>
      </c>
      <c r="AA15" s="10" t="s">
        <v>7</v>
      </c>
      <c r="AB15" s="81" t="s">
        <v>8</v>
      </c>
      <c r="AC15" s="82" t="s">
        <v>9</v>
      </c>
      <c r="AD15" s="476"/>
      <c r="AE15" s="521" t="s">
        <v>3</v>
      </c>
      <c r="AF15" s="97" t="s">
        <v>4</v>
      </c>
      <c r="AG15" s="97" t="s">
        <v>5</v>
      </c>
      <c r="AH15" s="10" t="s">
        <v>6</v>
      </c>
      <c r="AI15" s="10" t="s">
        <v>7</v>
      </c>
      <c r="AJ15" s="81" t="s">
        <v>8</v>
      </c>
      <c r="AK15" s="82" t="s">
        <v>9</v>
      </c>
      <c r="AL15" s="274"/>
      <c r="AM15" s="321" t="s">
        <v>3</v>
      </c>
      <c r="AN15" s="10" t="s">
        <v>4</v>
      </c>
      <c r="AO15" s="10" t="s">
        <v>5</v>
      </c>
      <c r="AP15" s="10" t="s">
        <v>6</v>
      </c>
      <c r="AQ15" s="10" t="s">
        <v>7</v>
      </c>
      <c r="AR15" s="10" t="s">
        <v>8</v>
      </c>
      <c r="AS15" s="13" t="s">
        <v>9</v>
      </c>
      <c r="AT15" s="274"/>
      <c r="AU15" s="321" t="s">
        <v>3</v>
      </c>
      <c r="AV15" s="10" t="s">
        <v>4</v>
      </c>
      <c r="AW15" s="10" t="s">
        <v>5</v>
      </c>
      <c r="AX15" s="10" t="s">
        <v>6</v>
      </c>
      <c r="AY15" s="10" t="s">
        <v>7</v>
      </c>
      <c r="AZ15" s="10" t="s">
        <v>8</v>
      </c>
      <c r="BA15" s="13" t="s">
        <v>9</v>
      </c>
      <c r="BB15" s="274"/>
      <c r="BC15" s="321" t="s">
        <v>3</v>
      </c>
      <c r="BD15" s="10" t="s">
        <v>4</v>
      </c>
      <c r="BE15" s="10" t="s">
        <v>5</v>
      </c>
      <c r="BF15" s="10" t="s">
        <v>6</v>
      </c>
      <c r="BG15" s="10" t="s">
        <v>7</v>
      </c>
      <c r="BH15" s="10" t="s">
        <v>8</v>
      </c>
      <c r="BI15" s="13" t="s">
        <v>9</v>
      </c>
      <c r="BJ15" s="274"/>
      <c r="BK15" s="321" t="s">
        <v>3</v>
      </c>
      <c r="BL15" s="10" t="s">
        <v>4</v>
      </c>
      <c r="BM15" s="10" t="s">
        <v>5</v>
      </c>
      <c r="BN15" s="10" t="s">
        <v>6</v>
      </c>
      <c r="BO15" s="10" t="s">
        <v>7</v>
      </c>
      <c r="BP15" s="10" t="s">
        <v>8</v>
      </c>
      <c r="BQ15" s="13" t="s">
        <v>9</v>
      </c>
      <c r="BR15" s="10"/>
      <c r="BS15" s="321" t="s">
        <v>5</v>
      </c>
      <c r="BT15" s="10" t="s">
        <v>6</v>
      </c>
      <c r="BU15" s="10" t="s">
        <v>7</v>
      </c>
      <c r="BV15" s="10" t="s">
        <v>8</v>
      </c>
      <c r="BW15" s="13" t="s">
        <v>9</v>
      </c>
    </row>
    <row r="16" spans="2:81" s="4" customFormat="1" x14ac:dyDescent="0.25">
      <c r="B16" s="42"/>
      <c r="C16" s="22"/>
      <c r="D16" s="22"/>
      <c r="E16" s="577"/>
      <c r="F16" s="22"/>
      <c r="G16" s="24"/>
      <c r="H16" s="405"/>
      <c r="I16" s="405"/>
      <c r="J16" s="405"/>
      <c r="K16" s="405"/>
      <c r="L16" s="405"/>
      <c r="M16" s="23"/>
      <c r="N16" s="22"/>
      <c r="O16" s="24"/>
      <c r="P16" s="405"/>
      <c r="Q16" s="405"/>
      <c r="R16" s="405"/>
      <c r="S16" s="405"/>
      <c r="T16" s="405"/>
      <c r="U16" s="23"/>
      <c r="V16" s="577"/>
      <c r="W16" s="24"/>
      <c r="X16" s="405"/>
      <c r="Y16" s="405"/>
      <c r="Z16" s="405"/>
      <c r="AA16" s="405"/>
      <c r="AB16" s="405"/>
      <c r="AC16" s="23"/>
      <c r="AD16" s="577"/>
      <c r="AE16" s="24"/>
      <c r="AF16" s="405"/>
      <c r="AG16" s="405"/>
      <c r="AH16" s="405"/>
      <c r="AI16" s="405"/>
      <c r="AJ16" s="405"/>
      <c r="AK16" s="23"/>
      <c r="AL16" s="22"/>
      <c r="AM16" s="24"/>
      <c r="AN16" s="405"/>
      <c r="AO16" s="405"/>
      <c r="AP16" s="405"/>
      <c r="AQ16" s="405"/>
      <c r="AR16" s="405"/>
      <c r="AS16" s="23"/>
      <c r="AT16" s="22"/>
      <c r="AU16" s="24"/>
      <c r="AV16" s="405"/>
      <c r="AW16" s="405"/>
      <c r="AX16" s="405"/>
      <c r="AY16" s="405"/>
      <c r="AZ16" s="405"/>
      <c r="BA16" s="23"/>
      <c r="BB16" s="22"/>
      <c r="BC16" s="24"/>
      <c r="BD16" s="22"/>
      <c r="BE16" s="22"/>
      <c r="BF16" s="22"/>
      <c r="BG16" s="22"/>
      <c r="BH16" s="22"/>
      <c r="BI16" s="23"/>
      <c r="BJ16" s="22"/>
      <c r="BK16" s="24"/>
      <c r="BL16" s="22"/>
      <c r="BM16" s="22"/>
      <c r="BN16" s="22"/>
      <c r="BO16" s="22"/>
      <c r="BP16" s="22"/>
      <c r="BQ16" s="23"/>
      <c r="BR16" s="22"/>
      <c r="BS16" s="24"/>
      <c r="BT16" s="22"/>
      <c r="BU16" s="22"/>
      <c r="BV16" s="22"/>
      <c r="BW16" s="22"/>
      <c r="BX16" s="22"/>
      <c r="BY16" s="23"/>
      <c r="BZ16" s="22"/>
      <c r="CA16" s="83"/>
      <c r="CB16" s="36"/>
      <c r="CC16" s="37"/>
    </row>
    <row r="17" spans="1:75" x14ac:dyDescent="0.25">
      <c r="A17" s="4" t="s">
        <v>10</v>
      </c>
      <c r="B17" s="308" t="s">
        <v>10</v>
      </c>
      <c r="C17" s="274"/>
      <c r="D17" s="274"/>
      <c r="E17" s="706">
        <v>13826.391</v>
      </c>
      <c r="F17" s="274"/>
      <c r="G17" s="567">
        <v>13200.668</v>
      </c>
      <c r="H17" s="423">
        <v>15213.161</v>
      </c>
      <c r="I17" s="423">
        <v>28413.829000000002</v>
      </c>
      <c r="J17" s="423">
        <v>29039.883999999998</v>
      </c>
      <c r="K17" s="423">
        <v>57453.713000000003</v>
      </c>
      <c r="L17" s="423">
        <v>18961.806</v>
      </c>
      <c r="M17" s="40">
        <v>76415.519</v>
      </c>
      <c r="N17" s="274"/>
      <c r="O17" s="567">
        <v>29899</v>
      </c>
      <c r="P17" s="423">
        <v>18711</v>
      </c>
      <c r="Q17" s="423">
        <v>48610</v>
      </c>
      <c r="R17" s="423">
        <v>28809</v>
      </c>
      <c r="S17" s="423">
        <v>77419</v>
      </c>
      <c r="T17" s="423">
        <v>19008</v>
      </c>
      <c r="U17" s="423">
        <v>96427</v>
      </c>
      <c r="V17" s="483"/>
      <c r="W17" s="567">
        <v>34040</v>
      </c>
      <c r="X17" s="423">
        <f>Y17-W17</f>
        <v>37839</v>
      </c>
      <c r="Y17" s="423">
        <v>71879</v>
      </c>
      <c r="Z17" s="406">
        <f>AA17-Y17</f>
        <v>54468</v>
      </c>
      <c r="AA17" s="423">
        <v>126347</v>
      </c>
      <c r="AB17" s="406">
        <f>AC17-AA17</f>
        <v>45842.882000000012</v>
      </c>
      <c r="AC17" s="40">
        <v>172189.88200000001</v>
      </c>
      <c r="AD17" s="483"/>
      <c r="AE17" s="84">
        <v>51446</v>
      </c>
      <c r="AF17" s="423">
        <f t="shared" ref="AF17:AF42" si="0">AG17-AE17</f>
        <v>53846</v>
      </c>
      <c r="AG17" s="423">
        <v>105292</v>
      </c>
      <c r="AH17" s="423">
        <f>AI17-AG17</f>
        <v>75482</v>
      </c>
      <c r="AI17" s="423">
        <v>180774</v>
      </c>
      <c r="AJ17" s="423">
        <f>AK17-AI17</f>
        <v>51464</v>
      </c>
      <c r="AK17" s="40">
        <v>232238</v>
      </c>
      <c r="AL17" s="274"/>
      <c r="AM17" s="84">
        <v>65632</v>
      </c>
      <c r="AN17" s="423">
        <v>63358</v>
      </c>
      <c r="AO17" s="423">
        <v>128990</v>
      </c>
      <c r="AP17" s="423">
        <v>76901</v>
      </c>
      <c r="AQ17" s="423">
        <v>205891</v>
      </c>
      <c r="AR17" s="423">
        <f>AS17-AQ17</f>
        <v>64535</v>
      </c>
      <c r="AS17" s="40">
        <v>270426</v>
      </c>
      <c r="AT17" s="274"/>
      <c r="AU17" s="84">
        <v>30390</v>
      </c>
      <c r="AV17" s="423">
        <v>47221</v>
      </c>
      <c r="AW17" s="423">
        <v>77611</v>
      </c>
      <c r="AX17" s="423">
        <v>70629</v>
      </c>
      <c r="AY17" s="423">
        <v>148240</v>
      </c>
      <c r="AZ17" s="423">
        <v>67756</v>
      </c>
      <c r="BA17" s="40">
        <v>215996</v>
      </c>
      <c r="BB17" s="274"/>
      <c r="BC17" s="84">
        <v>31137</v>
      </c>
      <c r="BD17" s="423">
        <v>29611</v>
      </c>
      <c r="BE17" s="423">
        <v>60748</v>
      </c>
      <c r="BF17" s="423">
        <v>46647</v>
      </c>
      <c r="BG17" s="423">
        <v>107395</v>
      </c>
      <c r="BH17" s="423">
        <v>40447</v>
      </c>
      <c r="BI17" s="40">
        <v>147842</v>
      </c>
      <c r="BJ17" s="274"/>
      <c r="BK17" s="84">
        <v>24407</v>
      </c>
      <c r="BL17" s="39">
        <v>35570</v>
      </c>
      <c r="BM17" s="39">
        <v>59977</v>
      </c>
      <c r="BN17" s="39">
        <v>34289</v>
      </c>
      <c r="BO17" s="39">
        <v>94266</v>
      </c>
      <c r="BP17" s="39">
        <v>37030</v>
      </c>
      <c r="BQ17" s="40">
        <v>131296</v>
      </c>
      <c r="BR17" s="39"/>
      <c r="BS17" s="84">
        <v>9753</v>
      </c>
      <c r="BT17" s="39">
        <v>34449</v>
      </c>
      <c r="BU17" s="39">
        <v>44202</v>
      </c>
      <c r="BV17" s="39">
        <v>34185</v>
      </c>
      <c r="BW17" s="40">
        <v>78387</v>
      </c>
    </row>
    <row r="18" spans="1:75" ht="17.25" x14ac:dyDescent="0.4">
      <c r="A18" s="4" t="s">
        <v>210</v>
      </c>
      <c r="B18" s="308" t="s">
        <v>11</v>
      </c>
      <c r="C18" s="274"/>
      <c r="D18" s="274"/>
      <c r="E18" s="739">
        <v>9250.0529999999999</v>
      </c>
      <c r="F18" s="274"/>
      <c r="G18" s="568">
        <v>9837.4989999999998</v>
      </c>
      <c r="H18" s="427">
        <v>10260.675999999999</v>
      </c>
      <c r="I18" s="427">
        <v>20098.174999999999</v>
      </c>
      <c r="J18" s="427">
        <v>19747.282999999999</v>
      </c>
      <c r="K18" s="427">
        <v>39845.457999999999</v>
      </c>
      <c r="L18" s="427">
        <v>13123.382</v>
      </c>
      <c r="M18" s="326">
        <v>52968.84</v>
      </c>
      <c r="N18" s="274"/>
      <c r="O18" s="568">
        <v>23401</v>
      </c>
      <c r="P18" s="427">
        <v>13084</v>
      </c>
      <c r="Q18" s="427">
        <v>36485</v>
      </c>
      <c r="R18" s="427">
        <v>19950</v>
      </c>
      <c r="S18" s="427">
        <v>56435</v>
      </c>
      <c r="T18" s="427">
        <v>13639</v>
      </c>
      <c r="U18" s="427">
        <v>70074</v>
      </c>
      <c r="V18" s="483"/>
      <c r="W18" s="568">
        <v>26025</v>
      </c>
      <c r="X18" s="427">
        <f t="shared" ref="X18:X44" si="1">Y18-W18</f>
        <v>27838</v>
      </c>
      <c r="Y18" s="427">
        <v>53863</v>
      </c>
      <c r="Z18" s="407">
        <f t="shared" ref="Z18:AB23" si="2">AA18-Y18</f>
        <v>38626</v>
      </c>
      <c r="AA18" s="427">
        <v>92489</v>
      </c>
      <c r="AB18" s="407">
        <f t="shared" si="2"/>
        <v>34540.293000000005</v>
      </c>
      <c r="AC18" s="326">
        <v>127029.29300000001</v>
      </c>
      <c r="AD18" s="483"/>
      <c r="AE18" s="324">
        <v>38074</v>
      </c>
      <c r="AF18" s="427">
        <f t="shared" si="0"/>
        <v>38854</v>
      </c>
      <c r="AG18" s="427">
        <v>76928</v>
      </c>
      <c r="AH18" s="427">
        <f t="shared" ref="AH18:AH44" si="3">AI18-AG18</f>
        <v>53168</v>
      </c>
      <c r="AI18" s="427">
        <v>130096</v>
      </c>
      <c r="AJ18" s="427">
        <f t="shared" ref="AJ18:AJ44" si="4">AK18-AI18</f>
        <v>39456</v>
      </c>
      <c r="AK18" s="326">
        <v>169552</v>
      </c>
      <c r="AL18" s="274"/>
      <c r="AM18" s="324">
        <v>44476</v>
      </c>
      <c r="AN18" s="427">
        <v>43397</v>
      </c>
      <c r="AO18" s="427">
        <v>87873</v>
      </c>
      <c r="AP18" s="427">
        <v>51464</v>
      </c>
      <c r="AQ18" s="427">
        <v>139337</v>
      </c>
      <c r="AR18" s="427">
        <f t="shared" ref="AR18:AR43" si="5">AS18-AQ18</f>
        <v>45942</v>
      </c>
      <c r="AS18" s="326">
        <v>185279</v>
      </c>
      <c r="AT18" s="274"/>
      <c r="AU18" s="324">
        <v>22447</v>
      </c>
      <c r="AV18" s="427">
        <v>34411</v>
      </c>
      <c r="AW18" s="427">
        <v>56858</v>
      </c>
      <c r="AX18" s="427">
        <v>46949</v>
      </c>
      <c r="AY18" s="427">
        <v>103807</v>
      </c>
      <c r="AZ18" s="427">
        <v>45370</v>
      </c>
      <c r="BA18" s="326">
        <v>149177</v>
      </c>
      <c r="BB18" s="274"/>
      <c r="BC18" s="324">
        <v>21850</v>
      </c>
      <c r="BD18" s="427">
        <v>22080</v>
      </c>
      <c r="BE18" s="427">
        <v>43930</v>
      </c>
      <c r="BF18" s="427">
        <v>33014</v>
      </c>
      <c r="BG18" s="427">
        <v>76944</v>
      </c>
      <c r="BH18" s="427">
        <v>30238</v>
      </c>
      <c r="BI18" s="326">
        <v>107182</v>
      </c>
      <c r="BJ18" s="274"/>
      <c r="BK18" s="324">
        <v>17328</v>
      </c>
      <c r="BL18" s="325">
        <v>25346</v>
      </c>
      <c r="BM18" s="325">
        <v>42674</v>
      </c>
      <c r="BN18" s="325">
        <v>25118</v>
      </c>
      <c r="BO18" s="325">
        <v>67792</v>
      </c>
      <c r="BP18" s="325">
        <v>29132</v>
      </c>
      <c r="BQ18" s="326">
        <v>96924</v>
      </c>
      <c r="BR18" s="325"/>
      <c r="BS18" s="324">
        <v>7312</v>
      </c>
      <c r="BT18" s="325">
        <v>29034</v>
      </c>
      <c r="BU18" s="325">
        <v>36346</v>
      </c>
      <c r="BV18" s="325">
        <v>25304</v>
      </c>
      <c r="BW18" s="326">
        <v>61650</v>
      </c>
    </row>
    <row r="19" spans="1:75" x14ac:dyDescent="0.25">
      <c r="A19" s="4" t="s">
        <v>12</v>
      </c>
      <c r="B19" s="308" t="s">
        <v>12</v>
      </c>
      <c r="C19" s="274"/>
      <c r="D19" s="274"/>
      <c r="E19" s="706">
        <f t="shared" ref="E19" si="6">E17-E18</f>
        <v>4576.3379999999997</v>
      </c>
      <c r="F19" s="274"/>
      <c r="G19" s="567">
        <f t="shared" ref="G19:M19" si="7">G17-G18</f>
        <v>3363.1689999999999</v>
      </c>
      <c r="H19" s="608">
        <f t="shared" si="7"/>
        <v>4952.4850000000006</v>
      </c>
      <c r="I19" s="608">
        <f t="shared" si="7"/>
        <v>8315.6540000000023</v>
      </c>
      <c r="J19" s="608">
        <f t="shared" si="7"/>
        <v>9292.6009999999987</v>
      </c>
      <c r="K19" s="608">
        <f t="shared" si="7"/>
        <v>17608.255000000005</v>
      </c>
      <c r="L19" s="608">
        <f t="shared" si="7"/>
        <v>5838.4240000000009</v>
      </c>
      <c r="M19" s="622">
        <f t="shared" si="7"/>
        <v>23446.679000000004</v>
      </c>
      <c r="N19" s="274"/>
      <c r="O19" s="567">
        <f t="shared" ref="O19:U19" si="8">O17-O18</f>
        <v>6498</v>
      </c>
      <c r="P19" s="608">
        <f t="shared" si="8"/>
        <v>5627</v>
      </c>
      <c r="Q19" s="608">
        <f t="shared" si="8"/>
        <v>12125</v>
      </c>
      <c r="R19" s="608">
        <f t="shared" si="8"/>
        <v>8859</v>
      </c>
      <c r="S19" s="608">
        <f t="shared" si="8"/>
        <v>20984</v>
      </c>
      <c r="T19" s="608">
        <f t="shared" si="8"/>
        <v>5369</v>
      </c>
      <c r="U19" s="608">
        <f t="shared" si="8"/>
        <v>26353</v>
      </c>
      <c r="V19" s="483"/>
      <c r="W19" s="567">
        <v>8015</v>
      </c>
      <c r="X19" s="423">
        <f t="shared" si="1"/>
        <v>10001</v>
      </c>
      <c r="Y19" s="423">
        <v>18016</v>
      </c>
      <c r="Z19" s="406">
        <f t="shared" si="2"/>
        <v>15842</v>
      </c>
      <c r="AA19" s="423">
        <v>33858</v>
      </c>
      <c r="AB19" s="406">
        <f t="shared" si="2"/>
        <v>11302.589</v>
      </c>
      <c r="AC19" s="40">
        <v>45160.589</v>
      </c>
      <c r="AD19" s="483"/>
      <c r="AE19" s="84">
        <f>AE17-AE18</f>
        <v>13372</v>
      </c>
      <c r="AF19" s="423">
        <f t="shared" si="0"/>
        <v>14992</v>
      </c>
      <c r="AG19" s="423">
        <v>28364</v>
      </c>
      <c r="AH19" s="423">
        <f t="shared" si="3"/>
        <v>22314</v>
      </c>
      <c r="AI19" s="423">
        <v>50678</v>
      </c>
      <c r="AJ19" s="423">
        <f t="shared" si="4"/>
        <v>12008</v>
      </c>
      <c r="AK19" s="40">
        <v>62686</v>
      </c>
      <c r="AL19" s="274"/>
      <c r="AM19" s="84">
        <v>21156</v>
      </c>
      <c r="AN19" s="423">
        <v>19961</v>
      </c>
      <c r="AO19" s="423">
        <v>41117</v>
      </c>
      <c r="AP19" s="423">
        <v>25437</v>
      </c>
      <c r="AQ19" s="423">
        <v>66554</v>
      </c>
      <c r="AR19" s="423">
        <f t="shared" si="5"/>
        <v>18593</v>
      </c>
      <c r="AS19" s="40">
        <f>AS17-AS18</f>
        <v>85147</v>
      </c>
      <c r="AT19" s="274"/>
      <c r="AU19" s="84">
        <v>7943</v>
      </c>
      <c r="AV19" s="423">
        <v>12810</v>
      </c>
      <c r="AW19" s="423">
        <v>20753</v>
      </c>
      <c r="AX19" s="423">
        <v>23680</v>
      </c>
      <c r="AY19" s="423">
        <v>44433</v>
      </c>
      <c r="AZ19" s="423">
        <v>22386</v>
      </c>
      <c r="BA19" s="40">
        <v>66819</v>
      </c>
      <c r="BB19" s="274"/>
      <c r="BC19" s="84">
        <v>9287</v>
      </c>
      <c r="BD19" s="423">
        <v>7531</v>
      </c>
      <c r="BE19" s="423">
        <v>16818</v>
      </c>
      <c r="BF19" s="423">
        <v>13633</v>
      </c>
      <c r="BG19" s="423">
        <v>30451</v>
      </c>
      <c r="BH19" s="423">
        <v>10209</v>
      </c>
      <c r="BI19" s="40">
        <v>40660</v>
      </c>
      <c r="BJ19" s="274"/>
      <c r="BK19" s="84">
        <v>7079</v>
      </c>
      <c r="BL19" s="39">
        <v>10224</v>
      </c>
      <c r="BM19" s="39">
        <v>17303</v>
      </c>
      <c r="BN19" s="39">
        <v>9171</v>
      </c>
      <c r="BO19" s="39">
        <v>26474</v>
      </c>
      <c r="BP19" s="39">
        <v>7898</v>
      </c>
      <c r="BQ19" s="40">
        <v>34372</v>
      </c>
      <c r="BR19" s="39"/>
      <c r="BS19" s="84">
        <v>2441</v>
      </c>
      <c r="BT19" s="39">
        <v>5415</v>
      </c>
      <c r="BU19" s="39">
        <v>7856</v>
      </c>
      <c r="BV19" s="39">
        <v>8881</v>
      </c>
      <c r="BW19" s="40">
        <v>16737</v>
      </c>
    </row>
    <row r="20" spans="1:75" outlineLevel="1" x14ac:dyDescent="0.25">
      <c r="A20" s="4" t="s">
        <v>211</v>
      </c>
      <c r="B20" s="302" t="s">
        <v>13</v>
      </c>
      <c r="C20" s="274"/>
      <c r="D20" s="274"/>
      <c r="E20" s="740">
        <v>4387.8609999999999</v>
      </c>
      <c r="F20" s="274"/>
      <c r="G20" s="569">
        <v>4878.8</v>
      </c>
      <c r="H20" s="424">
        <v>4552.183</v>
      </c>
      <c r="I20" s="424">
        <v>9430.9830000000002</v>
      </c>
      <c r="J20" s="424">
        <v>5071.01</v>
      </c>
      <c r="K20" s="424">
        <v>14501.992999999999</v>
      </c>
      <c r="L20" s="424">
        <v>5047.4799999999996</v>
      </c>
      <c r="M20" s="86">
        <v>19549.472999999998</v>
      </c>
      <c r="N20" s="274"/>
      <c r="O20" s="569">
        <v>8219</v>
      </c>
      <c r="P20" s="424">
        <v>5848</v>
      </c>
      <c r="Q20" s="424">
        <v>14067</v>
      </c>
      <c r="R20" s="424">
        <v>6063</v>
      </c>
      <c r="S20" s="424">
        <v>20130</v>
      </c>
      <c r="T20" s="424">
        <v>5342</v>
      </c>
      <c r="U20" s="424">
        <v>25472</v>
      </c>
      <c r="V20" s="483"/>
      <c r="W20" s="569">
        <v>8770</v>
      </c>
      <c r="X20" s="424">
        <f t="shared" si="1"/>
        <v>9090</v>
      </c>
      <c r="Y20" s="424">
        <v>17860</v>
      </c>
      <c r="Z20" s="408">
        <f t="shared" si="2"/>
        <v>9335</v>
      </c>
      <c r="AA20" s="424">
        <v>27195</v>
      </c>
      <c r="AB20" s="408">
        <f t="shared" si="2"/>
        <v>9119.8910000000033</v>
      </c>
      <c r="AC20" s="86">
        <v>36314.891000000003</v>
      </c>
      <c r="AD20" s="483"/>
      <c r="AE20" s="85">
        <v>7897</v>
      </c>
      <c r="AF20" s="424">
        <f t="shared" si="0"/>
        <v>7154.3230000000003</v>
      </c>
      <c r="AG20" s="424">
        <v>15051.323</v>
      </c>
      <c r="AH20" s="424">
        <f t="shared" si="3"/>
        <v>9568.6769999999997</v>
      </c>
      <c r="AI20" s="424">
        <f>24397+223</f>
        <v>24620</v>
      </c>
      <c r="AJ20" s="424">
        <f t="shared" si="4"/>
        <v>9248</v>
      </c>
      <c r="AK20" s="86">
        <f>33645+223</f>
        <v>33868</v>
      </c>
      <c r="AL20" s="274"/>
      <c r="AM20" s="85">
        <v>7714</v>
      </c>
      <c r="AN20" s="424">
        <v>8453</v>
      </c>
      <c r="AO20" s="424">
        <v>16167</v>
      </c>
      <c r="AP20" s="424">
        <v>10124</v>
      </c>
      <c r="AQ20" s="424">
        <v>26291</v>
      </c>
      <c r="AR20" s="424">
        <f t="shared" si="5"/>
        <v>9499</v>
      </c>
      <c r="AS20" s="86">
        <v>35790</v>
      </c>
      <c r="AT20" s="274"/>
      <c r="AU20" s="85">
        <v>6699</v>
      </c>
      <c r="AV20" s="424">
        <v>6404</v>
      </c>
      <c r="AW20" s="424">
        <v>13103</v>
      </c>
      <c r="AX20" s="424">
        <v>10210</v>
      </c>
      <c r="AY20" s="424">
        <v>23313</v>
      </c>
      <c r="AZ20" s="424">
        <v>8950</v>
      </c>
      <c r="BA20" s="86">
        <v>32263</v>
      </c>
      <c r="BB20" s="274"/>
      <c r="BC20" s="85">
        <v>6543</v>
      </c>
      <c r="BD20" s="424">
        <v>5201</v>
      </c>
      <c r="BE20" s="424">
        <v>11744</v>
      </c>
      <c r="BF20" s="424">
        <v>5747</v>
      </c>
      <c r="BG20" s="424">
        <v>17491</v>
      </c>
      <c r="BH20" s="424">
        <v>7804</v>
      </c>
      <c r="BI20" s="86">
        <v>25295</v>
      </c>
      <c r="BJ20" s="274"/>
      <c r="BK20" s="85">
        <v>5471</v>
      </c>
      <c r="BL20" s="38">
        <v>5871</v>
      </c>
      <c r="BM20" s="38">
        <v>11342</v>
      </c>
      <c r="BN20" s="38">
        <v>5993</v>
      </c>
      <c r="BO20" s="38">
        <v>17335</v>
      </c>
      <c r="BP20" s="38">
        <v>5426</v>
      </c>
      <c r="BQ20" s="86">
        <v>22761</v>
      </c>
      <c r="BR20" s="38"/>
      <c r="BS20" s="85">
        <v>2600</v>
      </c>
      <c r="BT20" s="38">
        <v>5120</v>
      </c>
      <c r="BU20" s="38">
        <v>7720</v>
      </c>
      <c r="BV20" s="38">
        <v>4611</v>
      </c>
      <c r="BW20" s="86">
        <v>12331</v>
      </c>
    </row>
    <row r="21" spans="1:75" outlineLevel="1" x14ac:dyDescent="0.25">
      <c r="A21" s="4" t="s">
        <v>212</v>
      </c>
      <c r="B21" s="302" t="s">
        <v>14</v>
      </c>
      <c r="C21" s="274"/>
      <c r="D21" s="274"/>
      <c r="E21" s="740">
        <v>125</v>
      </c>
      <c r="F21" s="274"/>
      <c r="G21" s="569">
        <v>125</v>
      </c>
      <c r="H21" s="424">
        <v>125.001</v>
      </c>
      <c r="I21" s="424">
        <v>250.001</v>
      </c>
      <c r="J21" s="424">
        <v>124.995</v>
      </c>
      <c r="K21" s="424">
        <v>374.99599999999998</v>
      </c>
      <c r="L21" s="424">
        <v>125.004</v>
      </c>
      <c r="M21" s="86">
        <v>500</v>
      </c>
      <c r="N21" s="274"/>
      <c r="O21" s="569">
        <v>125</v>
      </c>
      <c r="P21" s="424">
        <v>125</v>
      </c>
      <c r="Q21" s="424">
        <v>250</v>
      </c>
      <c r="R21" s="424">
        <v>125</v>
      </c>
      <c r="S21" s="424">
        <v>375</v>
      </c>
      <c r="T21" s="424">
        <v>125</v>
      </c>
      <c r="U21" s="424">
        <v>500</v>
      </c>
      <c r="V21" s="483"/>
      <c r="W21" s="569">
        <v>125</v>
      </c>
      <c r="X21" s="424">
        <f t="shared" si="1"/>
        <v>125</v>
      </c>
      <c r="Y21" s="424">
        <v>250</v>
      </c>
      <c r="Z21" s="408">
        <f t="shared" si="2"/>
        <v>125</v>
      </c>
      <c r="AA21" s="424">
        <v>375</v>
      </c>
      <c r="AB21" s="408">
        <f t="shared" si="2"/>
        <v>125</v>
      </c>
      <c r="AC21" s="86">
        <v>500</v>
      </c>
      <c r="AD21" s="483"/>
      <c r="AE21" s="85">
        <v>125</v>
      </c>
      <c r="AF21" s="424">
        <f t="shared" si="0"/>
        <v>125</v>
      </c>
      <c r="AG21" s="424">
        <v>250</v>
      </c>
      <c r="AH21" s="424">
        <f t="shared" si="3"/>
        <v>125</v>
      </c>
      <c r="AI21" s="424">
        <v>375</v>
      </c>
      <c r="AJ21" s="424">
        <f t="shared" si="4"/>
        <v>125</v>
      </c>
      <c r="AK21" s="86">
        <v>500</v>
      </c>
      <c r="AL21" s="274"/>
      <c r="AM21" s="85">
        <v>125</v>
      </c>
      <c r="AN21" s="424">
        <v>125</v>
      </c>
      <c r="AO21" s="424">
        <v>250</v>
      </c>
      <c r="AP21" s="424">
        <v>125</v>
      </c>
      <c r="AQ21" s="424">
        <v>375</v>
      </c>
      <c r="AR21" s="424">
        <f t="shared" si="5"/>
        <v>125</v>
      </c>
      <c r="AS21" s="86">
        <v>500</v>
      </c>
      <c r="AT21" s="274"/>
      <c r="AU21" s="85">
        <v>125</v>
      </c>
      <c r="AV21" s="424">
        <v>125</v>
      </c>
      <c r="AW21" s="424">
        <v>250</v>
      </c>
      <c r="AX21" s="424">
        <v>125</v>
      </c>
      <c r="AY21" s="424">
        <v>375</v>
      </c>
      <c r="AZ21" s="424">
        <v>125</v>
      </c>
      <c r="BA21" s="86">
        <v>500</v>
      </c>
      <c r="BB21" s="274"/>
      <c r="BC21" s="85">
        <v>125</v>
      </c>
      <c r="BD21" s="424">
        <v>125</v>
      </c>
      <c r="BE21" s="424">
        <v>250</v>
      </c>
      <c r="BF21" s="424">
        <v>125</v>
      </c>
      <c r="BG21" s="424">
        <v>375</v>
      </c>
      <c r="BH21" s="424">
        <v>125</v>
      </c>
      <c r="BI21" s="86">
        <v>500</v>
      </c>
      <c r="BJ21" s="274"/>
      <c r="BK21" s="85">
        <v>125</v>
      </c>
      <c r="BL21" s="38">
        <v>125</v>
      </c>
      <c r="BM21" s="38">
        <v>250</v>
      </c>
      <c r="BN21" s="38">
        <v>125</v>
      </c>
      <c r="BO21" s="38">
        <v>375</v>
      </c>
      <c r="BP21" s="38">
        <v>125</v>
      </c>
      <c r="BQ21" s="86">
        <v>500</v>
      </c>
      <c r="BR21" s="38"/>
      <c r="BS21" s="85">
        <v>40</v>
      </c>
      <c r="BT21" s="38">
        <v>125</v>
      </c>
      <c r="BU21" s="38">
        <v>165</v>
      </c>
      <c r="BV21" s="38">
        <v>125</v>
      </c>
      <c r="BW21" s="86">
        <v>290</v>
      </c>
    </row>
    <row r="22" spans="1:75" outlineLevel="1" x14ac:dyDescent="0.25">
      <c r="A22" s="4" t="s">
        <v>213</v>
      </c>
      <c r="B22" s="302" t="s">
        <v>15</v>
      </c>
      <c r="C22" s="274"/>
      <c r="D22" s="274"/>
      <c r="E22" s="740">
        <v>1185.3779999999999</v>
      </c>
      <c r="F22" s="274"/>
      <c r="G22" s="569">
        <v>1185.377</v>
      </c>
      <c r="H22" s="424">
        <v>1185.3779999999999</v>
      </c>
      <c r="I22" s="424">
        <v>2370.7550000000001</v>
      </c>
      <c r="J22" s="424">
        <v>1185.3779999999999</v>
      </c>
      <c r="K22" s="424">
        <v>3556.1329999999998</v>
      </c>
      <c r="L22" s="424">
        <v>1235.3779999999999</v>
      </c>
      <c r="M22" s="86">
        <v>4791.5110000000004</v>
      </c>
      <c r="N22" s="274"/>
      <c r="O22" s="569">
        <v>2396</v>
      </c>
      <c r="P22" s="424">
        <v>1589</v>
      </c>
      <c r="Q22" s="424">
        <v>3985</v>
      </c>
      <c r="R22" s="424">
        <v>1185</v>
      </c>
      <c r="S22" s="424">
        <v>5170</v>
      </c>
      <c r="T22" s="424">
        <v>1186</v>
      </c>
      <c r="U22" s="424">
        <v>6356</v>
      </c>
      <c r="V22" s="483"/>
      <c r="W22" s="569">
        <v>2396</v>
      </c>
      <c r="X22" s="424">
        <f t="shared" si="1"/>
        <v>2396</v>
      </c>
      <c r="Y22" s="424">
        <v>4792</v>
      </c>
      <c r="Z22" s="405">
        <f t="shared" si="2"/>
        <v>2395</v>
      </c>
      <c r="AA22" s="424">
        <v>7187</v>
      </c>
      <c r="AB22" s="405">
        <f t="shared" si="2"/>
        <v>2396.0560000000005</v>
      </c>
      <c r="AC22" s="86">
        <v>9583.0560000000005</v>
      </c>
      <c r="AD22" s="483"/>
      <c r="AE22" s="85">
        <v>2283</v>
      </c>
      <c r="AF22" s="424">
        <f t="shared" si="0"/>
        <v>2284</v>
      </c>
      <c r="AG22" s="424">
        <v>4567</v>
      </c>
      <c r="AH22" s="424">
        <f t="shared" si="3"/>
        <v>2395</v>
      </c>
      <c r="AI22" s="424">
        <v>6962</v>
      </c>
      <c r="AJ22" s="424">
        <f t="shared" si="4"/>
        <v>2395</v>
      </c>
      <c r="AK22" s="86">
        <v>9357</v>
      </c>
      <c r="AL22" s="274"/>
      <c r="AM22" s="85">
        <v>2283</v>
      </c>
      <c r="AN22" s="424">
        <v>2283</v>
      </c>
      <c r="AO22" s="424">
        <v>4566</v>
      </c>
      <c r="AP22" s="424">
        <v>2283</v>
      </c>
      <c r="AQ22" s="424">
        <v>6849</v>
      </c>
      <c r="AR22" s="424">
        <f t="shared" si="5"/>
        <v>2283</v>
      </c>
      <c r="AS22" s="86">
        <v>9132</v>
      </c>
      <c r="AT22" s="274"/>
      <c r="AU22" s="85">
        <v>2283</v>
      </c>
      <c r="AV22" s="424">
        <v>2283</v>
      </c>
      <c r="AW22" s="424">
        <v>4566</v>
      </c>
      <c r="AX22" s="424">
        <v>2283</v>
      </c>
      <c r="AY22" s="424">
        <v>6849</v>
      </c>
      <c r="AZ22" s="424">
        <v>2282</v>
      </c>
      <c r="BA22" s="86">
        <v>9131</v>
      </c>
      <c r="BB22" s="274"/>
      <c r="BC22" s="85">
        <v>2278</v>
      </c>
      <c r="BD22" s="424">
        <v>2279</v>
      </c>
      <c r="BE22" s="424">
        <v>4557</v>
      </c>
      <c r="BF22" s="424">
        <v>2282</v>
      </c>
      <c r="BG22" s="424">
        <v>6839</v>
      </c>
      <c r="BH22" s="424">
        <v>2283</v>
      </c>
      <c r="BI22" s="86">
        <v>9122</v>
      </c>
      <c r="BJ22" s="274"/>
      <c r="BK22" s="85">
        <v>1210</v>
      </c>
      <c r="BL22" s="38">
        <v>1209</v>
      </c>
      <c r="BM22" s="38">
        <v>2419</v>
      </c>
      <c r="BN22" s="38">
        <v>1220</v>
      </c>
      <c r="BO22" s="38">
        <v>3639</v>
      </c>
      <c r="BP22" s="38">
        <v>2622</v>
      </c>
      <c r="BQ22" s="86">
        <v>6261</v>
      </c>
      <c r="BR22" s="38"/>
      <c r="BS22" s="85">
        <v>0</v>
      </c>
      <c r="BT22" s="38">
        <v>1557</v>
      </c>
      <c r="BU22" s="38">
        <v>1557</v>
      </c>
      <c r="BV22" s="38">
        <v>1251</v>
      </c>
      <c r="BW22" s="86">
        <v>2808</v>
      </c>
    </row>
    <row r="23" spans="1:75" ht="17.25" outlineLevel="1" x14ac:dyDescent="0.4">
      <c r="A23" s="4" t="s">
        <v>234</v>
      </c>
      <c r="B23" s="302" t="s">
        <v>16</v>
      </c>
      <c r="C23" s="274"/>
      <c r="D23" s="274"/>
      <c r="E23" s="741">
        <v>0</v>
      </c>
      <c r="F23" s="274"/>
      <c r="G23" s="571">
        <v>0</v>
      </c>
      <c r="H23" s="428">
        <v>0</v>
      </c>
      <c r="I23" s="428">
        <v>0</v>
      </c>
      <c r="J23" s="428">
        <v>0</v>
      </c>
      <c r="K23" s="428">
        <v>0</v>
      </c>
      <c r="L23" s="428">
        <v>0</v>
      </c>
      <c r="M23" s="273">
        <v>0</v>
      </c>
      <c r="N23" s="274"/>
      <c r="O23" s="571">
        <v>8182</v>
      </c>
      <c r="P23" s="428">
        <v>0</v>
      </c>
      <c r="Q23" s="428">
        <v>8182</v>
      </c>
      <c r="R23" s="428">
        <v>0</v>
      </c>
      <c r="S23" s="428">
        <v>8182</v>
      </c>
      <c r="T23" s="428">
        <v>0</v>
      </c>
      <c r="U23" s="428">
        <v>8182</v>
      </c>
      <c r="V23" s="483"/>
      <c r="W23" s="571">
        <v>0</v>
      </c>
      <c r="X23" s="428">
        <v>0</v>
      </c>
      <c r="Y23" s="428">
        <v>0</v>
      </c>
      <c r="Z23" s="428">
        <f t="shared" si="2"/>
        <v>32568</v>
      </c>
      <c r="AA23" s="428">
        <v>32568</v>
      </c>
      <c r="AB23" s="428">
        <f t="shared" si="2"/>
        <v>-977.76199999999881</v>
      </c>
      <c r="AC23" s="273">
        <v>31590.238000000001</v>
      </c>
      <c r="AD23" s="483"/>
      <c r="AE23" s="272">
        <v>0</v>
      </c>
      <c r="AF23" s="428">
        <f t="shared" si="0"/>
        <v>0</v>
      </c>
      <c r="AG23" s="428">
        <v>0</v>
      </c>
      <c r="AH23" s="428">
        <f t="shared" si="3"/>
        <v>0</v>
      </c>
      <c r="AI23" s="428">
        <v>0</v>
      </c>
      <c r="AJ23" s="428">
        <f t="shared" si="4"/>
        <v>0</v>
      </c>
      <c r="AK23" s="273">
        <v>0</v>
      </c>
      <c r="AL23" s="274"/>
      <c r="AM23" s="272">
        <v>0</v>
      </c>
      <c r="AN23" s="428">
        <v>0</v>
      </c>
      <c r="AO23" s="428">
        <v>0</v>
      </c>
      <c r="AP23" s="428">
        <v>0</v>
      </c>
      <c r="AQ23" s="428">
        <v>0</v>
      </c>
      <c r="AR23" s="428">
        <f t="shared" si="5"/>
        <v>0</v>
      </c>
      <c r="AS23" s="273">
        <v>0</v>
      </c>
      <c r="AT23" s="274"/>
      <c r="AU23" s="272">
        <v>0</v>
      </c>
      <c r="AV23" s="428">
        <v>0</v>
      </c>
      <c r="AW23" s="428">
        <v>0</v>
      </c>
      <c r="AX23" s="428">
        <v>0</v>
      </c>
      <c r="AY23" s="428">
        <v>0</v>
      </c>
      <c r="AZ23" s="428">
        <v>0</v>
      </c>
      <c r="BA23" s="273">
        <v>0</v>
      </c>
      <c r="BB23" s="274"/>
      <c r="BC23" s="272">
        <v>0</v>
      </c>
      <c r="BD23" s="428">
        <v>0</v>
      </c>
      <c r="BE23" s="428">
        <v>0</v>
      </c>
      <c r="BF23" s="428">
        <v>33381</v>
      </c>
      <c r="BG23" s="428">
        <v>33381</v>
      </c>
      <c r="BH23" s="428">
        <v>-500</v>
      </c>
      <c r="BI23" s="273">
        <v>32881</v>
      </c>
      <c r="BJ23" s="274"/>
      <c r="BK23" s="272">
        <v>0</v>
      </c>
      <c r="BL23" s="271">
        <v>0</v>
      </c>
      <c r="BM23" s="271">
        <v>0</v>
      </c>
      <c r="BN23" s="271">
        <v>0</v>
      </c>
      <c r="BO23" s="271">
        <v>0</v>
      </c>
      <c r="BP23" s="271">
        <v>0</v>
      </c>
      <c r="BQ23" s="273">
        <v>0</v>
      </c>
      <c r="BR23" s="271"/>
      <c r="BS23" s="272">
        <v>0</v>
      </c>
      <c r="BT23" s="271">
        <v>0</v>
      </c>
      <c r="BU23" s="271">
        <v>0</v>
      </c>
      <c r="BV23" s="271">
        <v>0</v>
      </c>
      <c r="BW23" s="273">
        <v>0</v>
      </c>
    </row>
    <row r="24" spans="1:75" x14ac:dyDescent="0.25">
      <c r="A24" s="4" t="s">
        <v>214</v>
      </c>
      <c r="B24" s="308" t="s">
        <v>17</v>
      </c>
      <c r="C24" s="274"/>
      <c r="D24" s="274"/>
      <c r="E24" s="706">
        <f>E19-SUM(E20:E23)</f>
        <v>-1121.9009999999998</v>
      </c>
      <c r="F24" s="274"/>
      <c r="G24" s="567">
        <f>G19-SUM(G20:G23)</f>
        <v>-2826.0079999999998</v>
      </c>
      <c r="H24" s="608">
        <f t="shared" ref="H24:I24" si="9">H19-SUM(H20:H23)</f>
        <v>-910.07699999999932</v>
      </c>
      <c r="I24" s="608">
        <f t="shared" si="9"/>
        <v>-3736.0849999999991</v>
      </c>
      <c r="J24" s="608">
        <f t="shared" ref="J24:M24" si="10">J19-SUM(J20:J23)</f>
        <v>2911.2179999999989</v>
      </c>
      <c r="K24" s="608">
        <f t="shared" si="10"/>
        <v>-824.86699999999109</v>
      </c>
      <c r="L24" s="608">
        <f t="shared" si="10"/>
        <v>-569.43799999999828</v>
      </c>
      <c r="M24" s="622">
        <f t="shared" si="10"/>
        <v>-1394.304999999993</v>
      </c>
      <c r="N24" s="274"/>
      <c r="O24" s="567">
        <f>O19-SUM(O20:O23)</f>
        <v>-12424</v>
      </c>
      <c r="P24" s="608">
        <f t="shared" ref="P24:Q24" si="11">P19-SUM(P20:P23)</f>
        <v>-1935</v>
      </c>
      <c r="Q24" s="608">
        <f t="shared" si="11"/>
        <v>-14359</v>
      </c>
      <c r="R24" s="608">
        <f t="shared" ref="R24:S24" si="12">R19-SUM(R20:R23)</f>
        <v>1486</v>
      </c>
      <c r="S24" s="608">
        <f t="shared" si="12"/>
        <v>-12873</v>
      </c>
      <c r="T24" s="608">
        <f t="shared" ref="T24:U24" si="13">T19-SUM(T20:T23)</f>
        <v>-1284</v>
      </c>
      <c r="U24" s="608">
        <f t="shared" si="13"/>
        <v>-14157</v>
      </c>
      <c r="V24" s="483"/>
      <c r="W24" s="567">
        <v>-3276</v>
      </c>
      <c r="X24" s="423">
        <f t="shared" si="1"/>
        <v>-1610</v>
      </c>
      <c r="Y24" s="423">
        <v>-4886</v>
      </c>
      <c r="Z24" s="406">
        <f t="shared" ref="Z24:AB29" si="14">AA24-Y24</f>
        <v>-28581</v>
      </c>
      <c r="AA24" s="423">
        <v>-33467</v>
      </c>
      <c r="AB24" s="406">
        <f t="shared" si="14"/>
        <v>639.40400000000227</v>
      </c>
      <c r="AC24" s="40">
        <v>-32827.595999999998</v>
      </c>
      <c r="AD24" s="483"/>
      <c r="AE24" s="84">
        <v>3067</v>
      </c>
      <c r="AF24" s="423">
        <f t="shared" si="0"/>
        <v>5428.6769999999997</v>
      </c>
      <c r="AG24" s="423">
        <v>8495.6769999999997</v>
      </c>
      <c r="AH24" s="423">
        <f t="shared" si="3"/>
        <v>10225.323</v>
      </c>
      <c r="AI24" s="423">
        <v>18721</v>
      </c>
      <c r="AJ24" s="423">
        <f t="shared" si="4"/>
        <v>240</v>
      </c>
      <c r="AK24" s="40">
        <v>18961</v>
      </c>
      <c r="AL24" s="274"/>
      <c r="AM24" s="84">
        <v>11034</v>
      </c>
      <c r="AN24" s="423">
        <v>9100</v>
      </c>
      <c r="AO24" s="423">
        <v>20134</v>
      </c>
      <c r="AP24" s="423">
        <v>12905</v>
      </c>
      <c r="AQ24" s="423">
        <v>33039</v>
      </c>
      <c r="AR24" s="423">
        <f t="shared" si="5"/>
        <v>6686</v>
      </c>
      <c r="AS24" s="40">
        <v>39725</v>
      </c>
      <c r="AT24" s="274"/>
      <c r="AU24" s="84">
        <v>-1164</v>
      </c>
      <c r="AV24" s="423">
        <v>3998</v>
      </c>
      <c r="AW24" s="423">
        <v>2834</v>
      </c>
      <c r="AX24" s="423">
        <v>11062</v>
      </c>
      <c r="AY24" s="423">
        <v>13896</v>
      </c>
      <c r="AZ24" s="423">
        <v>11029</v>
      </c>
      <c r="BA24" s="40">
        <v>24925</v>
      </c>
      <c r="BB24" s="274"/>
      <c r="BC24" s="84">
        <v>341</v>
      </c>
      <c r="BD24" s="423">
        <v>-74</v>
      </c>
      <c r="BE24" s="423">
        <v>267</v>
      </c>
      <c r="BF24" s="423">
        <v>-27902</v>
      </c>
      <c r="BG24" s="423">
        <v>-27635</v>
      </c>
      <c r="BH24" s="423">
        <v>497</v>
      </c>
      <c r="BI24" s="40">
        <v>-27138</v>
      </c>
      <c r="BJ24" s="274"/>
      <c r="BK24" s="84">
        <v>273</v>
      </c>
      <c r="BL24" s="39">
        <v>3019</v>
      </c>
      <c r="BM24" s="39">
        <v>3292</v>
      </c>
      <c r="BN24" s="39">
        <v>1833</v>
      </c>
      <c r="BO24" s="39">
        <v>5125</v>
      </c>
      <c r="BP24" s="39">
        <v>-275</v>
      </c>
      <c r="BQ24" s="40">
        <v>4850</v>
      </c>
      <c r="BR24" s="39"/>
      <c r="BS24" s="84">
        <v>-199</v>
      </c>
      <c r="BT24" s="39">
        <v>-1387</v>
      </c>
      <c r="BU24" s="39">
        <v>-1586</v>
      </c>
      <c r="BV24" s="39">
        <v>2894</v>
      </c>
      <c r="BW24" s="40">
        <v>1308</v>
      </c>
    </row>
    <row r="25" spans="1:75" outlineLevel="1" x14ac:dyDescent="0.25">
      <c r="A25" s="4" t="s">
        <v>217</v>
      </c>
      <c r="B25" s="302" t="s">
        <v>18</v>
      </c>
      <c r="C25" s="274"/>
      <c r="D25" s="274"/>
      <c r="E25" s="740">
        <v>-74.338999999999999</v>
      </c>
      <c r="F25" s="274"/>
      <c r="G25" s="569">
        <v>-122.32599999999999</v>
      </c>
      <c r="H25" s="424">
        <v>-78.905000000000001</v>
      </c>
      <c r="I25" s="424">
        <v>-201.23099999999999</v>
      </c>
      <c r="J25" s="424">
        <v>-263.30099999999999</v>
      </c>
      <c r="K25" s="424">
        <v>-464.53199999999998</v>
      </c>
      <c r="L25" s="424">
        <v>-1262.27</v>
      </c>
      <c r="M25" s="86">
        <v>-1726.8019999999999</v>
      </c>
      <c r="N25" s="274"/>
      <c r="O25" s="569">
        <v>-292</v>
      </c>
      <c r="P25" s="424">
        <f>-1262+27461</f>
        <v>26199</v>
      </c>
      <c r="Q25" s="424">
        <f>-1554+27461</f>
        <v>25907</v>
      </c>
      <c r="R25" s="424">
        <f>-159</f>
        <v>-159</v>
      </c>
      <c r="S25" s="424">
        <v>25748</v>
      </c>
      <c r="T25" s="424">
        <v>-1171</v>
      </c>
      <c r="U25" s="424">
        <v>24577</v>
      </c>
      <c r="V25" s="483"/>
      <c r="W25" s="569">
        <v>-572</v>
      </c>
      <c r="X25" s="424">
        <f t="shared" si="1"/>
        <v>-10</v>
      </c>
      <c r="Y25" s="424">
        <v>-582</v>
      </c>
      <c r="Z25" s="408">
        <f t="shared" si="14"/>
        <v>-420</v>
      </c>
      <c r="AA25" s="424">
        <v>-1002</v>
      </c>
      <c r="AB25" s="408">
        <f t="shared" si="14"/>
        <v>-26.248000000000047</v>
      </c>
      <c r="AC25" s="86">
        <v>-1028.248</v>
      </c>
      <c r="AD25" s="483"/>
      <c r="AE25" s="85">
        <v>282</v>
      </c>
      <c r="AF25" s="424">
        <f t="shared" si="0"/>
        <v>49</v>
      </c>
      <c r="AG25" s="424">
        <v>331</v>
      </c>
      <c r="AH25" s="424">
        <f t="shared" si="3"/>
        <v>1063</v>
      </c>
      <c r="AI25" s="424">
        <v>1394</v>
      </c>
      <c r="AJ25" s="424">
        <f t="shared" si="4"/>
        <v>1367</v>
      </c>
      <c r="AK25" s="86">
        <v>2761</v>
      </c>
      <c r="AL25" s="274"/>
      <c r="AM25" s="85">
        <v>2441</v>
      </c>
      <c r="AN25" s="424">
        <v>283</v>
      </c>
      <c r="AO25" s="424">
        <v>2724</v>
      </c>
      <c r="AP25" s="424">
        <v>66</v>
      </c>
      <c r="AQ25" s="424">
        <v>2790</v>
      </c>
      <c r="AR25" s="424">
        <f t="shared" si="5"/>
        <v>37</v>
      </c>
      <c r="AS25" s="86">
        <v>2827</v>
      </c>
      <c r="AT25" s="274"/>
      <c r="AU25" s="85">
        <v>39</v>
      </c>
      <c r="AV25" s="424">
        <v>1141</v>
      </c>
      <c r="AW25" s="424">
        <v>1180</v>
      </c>
      <c r="AX25" s="424">
        <v>38</v>
      </c>
      <c r="AY25" s="424">
        <v>1218</v>
      </c>
      <c r="AZ25" s="424">
        <v>-60</v>
      </c>
      <c r="BA25" s="86">
        <v>1158</v>
      </c>
      <c r="BB25" s="274"/>
      <c r="BC25" s="85">
        <v>72</v>
      </c>
      <c r="BD25" s="424">
        <v>768</v>
      </c>
      <c r="BE25" s="424">
        <v>840</v>
      </c>
      <c r="BF25" s="424">
        <v>308</v>
      </c>
      <c r="BG25" s="424">
        <v>1148</v>
      </c>
      <c r="BH25" s="424">
        <v>42</v>
      </c>
      <c r="BI25" s="86">
        <v>1190</v>
      </c>
      <c r="BJ25" s="274"/>
      <c r="BK25" s="85">
        <v>56</v>
      </c>
      <c r="BL25" s="38">
        <v>52</v>
      </c>
      <c r="BM25" s="38">
        <v>108</v>
      </c>
      <c r="BN25" s="38">
        <v>51</v>
      </c>
      <c r="BO25" s="38">
        <v>159</v>
      </c>
      <c r="BP25" s="38">
        <v>168</v>
      </c>
      <c r="BQ25" s="86">
        <v>327</v>
      </c>
      <c r="BR25" s="38"/>
      <c r="BS25" s="85">
        <v>33</v>
      </c>
      <c r="BT25" s="38">
        <v>134</v>
      </c>
      <c r="BU25" s="38">
        <v>167</v>
      </c>
      <c r="BV25" s="38">
        <v>24</v>
      </c>
      <c r="BW25" s="86">
        <v>191</v>
      </c>
    </row>
    <row r="26" spans="1:75" outlineLevel="1" x14ac:dyDescent="0.25">
      <c r="A26" s="4" t="s">
        <v>215</v>
      </c>
      <c r="B26" s="302" t="s">
        <v>19</v>
      </c>
      <c r="C26" s="274"/>
      <c r="D26" s="274"/>
      <c r="E26" s="740">
        <v>6.34</v>
      </c>
      <c r="F26" s="274"/>
      <c r="G26" s="569">
        <v>-0.95099999999999996</v>
      </c>
      <c r="H26" s="424">
        <v>-12.27</v>
      </c>
      <c r="I26" s="424">
        <v>-13.221</v>
      </c>
      <c r="J26" s="424">
        <v>21.305</v>
      </c>
      <c r="K26" s="424">
        <v>8.0839999999999996</v>
      </c>
      <c r="L26" s="424">
        <v>-6.81</v>
      </c>
      <c r="M26" s="86">
        <v>1.274</v>
      </c>
      <c r="N26" s="274"/>
      <c r="O26" s="569">
        <v>44</v>
      </c>
      <c r="P26" s="424">
        <v>11</v>
      </c>
      <c r="Q26" s="424">
        <v>54</v>
      </c>
      <c r="R26" s="424">
        <v>-1</v>
      </c>
      <c r="S26" s="424">
        <v>53</v>
      </c>
      <c r="T26" s="424">
        <v>-1</v>
      </c>
      <c r="U26" s="424">
        <v>52</v>
      </c>
      <c r="V26" s="483"/>
      <c r="W26" s="569">
        <v>124</v>
      </c>
      <c r="X26" s="424">
        <f t="shared" si="1"/>
        <v>70</v>
      </c>
      <c r="Y26" s="424">
        <v>194</v>
      </c>
      <c r="Z26" s="408">
        <f t="shared" si="14"/>
        <v>38</v>
      </c>
      <c r="AA26" s="424">
        <v>232</v>
      </c>
      <c r="AB26" s="408">
        <f t="shared" si="14"/>
        <v>120.49000000000001</v>
      </c>
      <c r="AC26" s="86">
        <v>352.49</v>
      </c>
      <c r="AD26" s="483"/>
      <c r="AE26" s="85">
        <v>17</v>
      </c>
      <c r="AF26" s="424">
        <f t="shared" si="0"/>
        <v>55</v>
      </c>
      <c r="AG26" s="424">
        <v>72</v>
      </c>
      <c r="AH26" s="424">
        <f t="shared" si="3"/>
        <v>70</v>
      </c>
      <c r="AI26" s="424">
        <v>142</v>
      </c>
      <c r="AJ26" s="424">
        <f t="shared" si="4"/>
        <v>87</v>
      </c>
      <c r="AK26" s="86">
        <v>229</v>
      </c>
      <c r="AL26" s="274"/>
      <c r="AM26" s="85">
        <v>44</v>
      </c>
      <c r="AN26" s="424">
        <v>46</v>
      </c>
      <c r="AO26" s="424">
        <v>90</v>
      </c>
      <c r="AP26" s="424">
        <v>35</v>
      </c>
      <c r="AQ26" s="424">
        <v>125</v>
      </c>
      <c r="AR26" s="424">
        <f t="shared" si="5"/>
        <v>40</v>
      </c>
      <c r="AS26" s="86">
        <v>165</v>
      </c>
      <c r="AT26" s="274"/>
      <c r="AU26" s="85">
        <v>35</v>
      </c>
      <c r="AV26" s="424">
        <v>41</v>
      </c>
      <c r="AW26" s="424">
        <v>76</v>
      </c>
      <c r="AX26" s="424">
        <v>26</v>
      </c>
      <c r="AY26" s="424">
        <v>102</v>
      </c>
      <c r="AZ26" s="424">
        <v>29</v>
      </c>
      <c r="BA26" s="86">
        <v>131</v>
      </c>
      <c r="BB26" s="274"/>
      <c r="BC26" s="85">
        <v>48</v>
      </c>
      <c r="BD26" s="424">
        <v>64</v>
      </c>
      <c r="BE26" s="424">
        <v>112</v>
      </c>
      <c r="BF26" s="424">
        <v>61</v>
      </c>
      <c r="BG26" s="424">
        <v>173</v>
      </c>
      <c r="BH26" s="424">
        <v>69</v>
      </c>
      <c r="BI26" s="86">
        <v>242</v>
      </c>
      <c r="BJ26" s="274"/>
      <c r="BK26" s="85">
        <v>73</v>
      </c>
      <c r="BL26" s="38">
        <v>75</v>
      </c>
      <c r="BM26" s="38">
        <v>148</v>
      </c>
      <c r="BN26" s="38">
        <v>87</v>
      </c>
      <c r="BO26" s="38">
        <v>235</v>
      </c>
      <c r="BP26" s="38">
        <v>46</v>
      </c>
      <c r="BQ26" s="86">
        <v>281</v>
      </c>
      <c r="BR26" s="38"/>
      <c r="BS26" s="85">
        <v>4</v>
      </c>
      <c r="BT26" s="38">
        <v>19</v>
      </c>
      <c r="BU26" s="38">
        <v>23</v>
      </c>
      <c r="BV26" s="38">
        <v>144</v>
      </c>
      <c r="BW26" s="86">
        <v>167</v>
      </c>
    </row>
    <row r="27" spans="1:75" outlineLevel="1" x14ac:dyDescent="0.25">
      <c r="A27" s="4" t="s">
        <v>216</v>
      </c>
      <c r="B27" s="302" t="s">
        <v>20</v>
      </c>
      <c r="C27" s="274"/>
      <c r="D27" s="274"/>
      <c r="E27" s="740">
        <v>1416.4590000000001</v>
      </c>
      <c r="F27" s="274"/>
      <c r="G27" s="569">
        <v>1421.011</v>
      </c>
      <c r="H27" s="424">
        <v>1674.7280000000001</v>
      </c>
      <c r="I27" s="424">
        <v>3095.739</v>
      </c>
      <c r="J27" s="424">
        <v>1908.5889999999999</v>
      </c>
      <c r="K27" s="424">
        <v>5004.3280000000004</v>
      </c>
      <c r="L27" s="424">
        <v>1547.5920000000001</v>
      </c>
      <c r="M27" s="86">
        <v>6551.92</v>
      </c>
      <c r="N27" s="274"/>
      <c r="O27" s="569">
        <v>3218</v>
      </c>
      <c r="P27" s="424">
        <v>2364</v>
      </c>
      <c r="Q27" s="424">
        <v>5582</v>
      </c>
      <c r="R27" s="424">
        <v>2038</v>
      </c>
      <c r="S27" s="424">
        <v>7620</v>
      </c>
      <c r="T27" s="424">
        <v>1635</v>
      </c>
      <c r="U27" s="424">
        <v>9255</v>
      </c>
      <c r="V27" s="483"/>
      <c r="W27" s="569">
        <v>3128</v>
      </c>
      <c r="X27" s="424">
        <f t="shared" si="1"/>
        <v>3309</v>
      </c>
      <c r="Y27" s="424">
        <v>6437</v>
      </c>
      <c r="Z27" s="408">
        <f t="shared" si="14"/>
        <v>3633</v>
      </c>
      <c r="AA27" s="424">
        <v>10070</v>
      </c>
      <c r="AB27" s="408">
        <f t="shared" si="14"/>
        <v>3439.7250000000004</v>
      </c>
      <c r="AC27" s="86">
        <v>13509.725</v>
      </c>
      <c r="AD27" s="483"/>
      <c r="AE27" s="85">
        <v>1853</v>
      </c>
      <c r="AF27" s="424">
        <f t="shared" si="0"/>
        <v>2137</v>
      </c>
      <c r="AG27" s="424">
        <v>3990</v>
      </c>
      <c r="AH27" s="424">
        <f t="shared" si="3"/>
        <v>2997</v>
      </c>
      <c r="AI27" s="424">
        <v>6987</v>
      </c>
      <c r="AJ27" s="424">
        <f t="shared" si="4"/>
        <v>3295</v>
      </c>
      <c r="AK27" s="86">
        <v>10282</v>
      </c>
      <c r="AL27" s="274"/>
      <c r="AM27" s="85">
        <v>1818</v>
      </c>
      <c r="AN27" s="424">
        <v>1866</v>
      </c>
      <c r="AO27" s="424">
        <v>3684</v>
      </c>
      <c r="AP27" s="424">
        <v>1902</v>
      </c>
      <c r="AQ27" s="424">
        <v>5586</v>
      </c>
      <c r="AR27" s="424">
        <f t="shared" si="5"/>
        <v>1875</v>
      </c>
      <c r="AS27" s="86">
        <v>7461</v>
      </c>
      <c r="AT27" s="274"/>
      <c r="AU27" s="85">
        <v>2517</v>
      </c>
      <c r="AV27" s="424">
        <v>2274</v>
      </c>
      <c r="AW27" s="424">
        <v>4791</v>
      </c>
      <c r="AX27" s="424">
        <v>2154</v>
      </c>
      <c r="AY27" s="424">
        <v>6945</v>
      </c>
      <c r="AZ27" s="424">
        <v>1970</v>
      </c>
      <c r="BA27" s="86">
        <v>8915</v>
      </c>
      <c r="BB27" s="274"/>
      <c r="BC27" s="85">
        <v>2779</v>
      </c>
      <c r="BD27" s="424">
        <v>2820</v>
      </c>
      <c r="BE27" s="424">
        <v>5599</v>
      </c>
      <c r="BF27" s="424">
        <v>2885</v>
      </c>
      <c r="BG27" s="424">
        <v>8484</v>
      </c>
      <c r="BH27" s="424">
        <v>2710</v>
      </c>
      <c r="BI27" s="86">
        <v>11194</v>
      </c>
      <c r="BJ27" s="274"/>
      <c r="BK27" s="85">
        <v>1915</v>
      </c>
      <c r="BL27" s="38">
        <v>2062</v>
      </c>
      <c r="BM27" s="38">
        <v>3977</v>
      </c>
      <c r="BN27" s="38">
        <v>2424</v>
      </c>
      <c r="BO27" s="38">
        <v>6401</v>
      </c>
      <c r="BP27" s="38">
        <v>2897</v>
      </c>
      <c r="BQ27" s="86">
        <v>9298</v>
      </c>
      <c r="BR27" s="38"/>
      <c r="BS27" s="85">
        <v>590</v>
      </c>
      <c r="BT27" s="38">
        <v>1971</v>
      </c>
      <c r="BU27" s="38">
        <v>2561</v>
      </c>
      <c r="BV27" s="38">
        <v>2029</v>
      </c>
      <c r="BW27" s="86">
        <v>4590</v>
      </c>
    </row>
    <row r="28" spans="1:75" ht="17.25" outlineLevel="1" x14ac:dyDescent="0.4">
      <c r="A28" s="4" t="s">
        <v>218</v>
      </c>
      <c r="B28" s="302" t="s">
        <v>21</v>
      </c>
      <c r="C28" s="274"/>
      <c r="D28" s="274"/>
      <c r="E28" s="741">
        <v>63.874000000000002</v>
      </c>
      <c r="F28" s="274"/>
      <c r="G28" s="571">
        <v>43.673000000000002</v>
      </c>
      <c r="H28" s="428">
        <v>69.456999999999994</v>
      </c>
      <c r="I28" s="428">
        <v>113.13</v>
      </c>
      <c r="J28" s="428">
        <v>-72.403999999999996</v>
      </c>
      <c r="K28" s="428">
        <v>40.725999999999999</v>
      </c>
      <c r="L28" s="428">
        <v>-136.148</v>
      </c>
      <c r="M28" s="273">
        <v>-95.421999999999997</v>
      </c>
      <c r="N28" s="274"/>
      <c r="O28" s="571">
        <v>579</v>
      </c>
      <c r="P28" s="428">
        <v>8717</v>
      </c>
      <c r="Q28" s="428">
        <v>9297</v>
      </c>
      <c r="R28" s="428">
        <v>-2223</v>
      </c>
      <c r="S28" s="428">
        <v>7074</v>
      </c>
      <c r="T28" s="428">
        <v>-264</v>
      </c>
      <c r="U28" s="428">
        <v>6810</v>
      </c>
      <c r="V28" s="483"/>
      <c r="W28" s="571">
        <v>-1455</v>
      </c>
      <c r="X28" s="428">
        <f t="shared" si="1"/>
        <v>-1499</v>
      </c>
      <c r="Y28" s="428">
        <v>-2954</v>
      </c>
      <c r="Z28" s="410">
        <f t="shared" si="14"/>
        <v>-2951</v>
      </c>
      <c r="AA28" s="428">
        <v>-5905</v>
      </c>
      <c r="AB28" s="410">
        <f t="shared" si="14"/>
        <v>288.36399999999958</v>
      </c>
      <c r="AC28" s="273">
        <v>-5616.6360000000004</v>
      </c>
      <c r="AD28" s="483"/>
      <c r="AE28" s="272">
        <v>202</v>
      </c>
      <c r="AF28" s="428">
        <f t="shared" si="0"/>
        <v>754</v>
      </c>
      <c r="AG28" s="428">
        <v>956</v>
      </c>
      <c r="AH28" s="428">
        <f t="shared" si="3"/>
        <v>1416</v>
      </c>
      <c r="AI28" s="428">
        <v>2372</v>
      </c>
      <c r="AJ28" s="428">
        <f t="shared" si="4"/>
        <v>-810</v>
      </c>
      <c r="AK28" s="273">
        <v>1562</v>
      </c>
      <c r="AL28" s="274"/>
      <c r="AM28" s="272">
        <v>1506</v>
      </c>
      <c r="AN28" s="428">
        <v>1541</v>
      </c>
      <c r="AO28" s="428">
        <v>3047</v>
      </c>
      <c r="AP28" s="428">
        <v>2334</v>
      </c>
      <c r="AQ28" s="428">
        <v>5381</v>
      </c>
      <c r="AR28" s="428">
        <f t="shared" si="5"/>
        <v>856</v>
      </c>
      <c r="AS28" s="273">
        <v>6237</v>
      </c>
      <c r="AT28" s="274"/>
      <c r="AU28" s="272">
        <v>-453</v>
      </c>
      <c r="AV28" s="428">
        <v>6781</v>
      </c>
      <c r="AW28" s="428">
        <v>6328</v>
      </c>
      <c r="AX28" s="428">
        <v>-4942</v>
      </c>
      <c r="AY28" s="428">
        <v>1386</v>
      </c>
      <c r="AZ28" s="428">
        <v>2174</v>
      </c>
      <c r="BA28" s="273">
        <v>3560</v>
      </c>
      <c r="BB28" s="274"/>
      <c r="BC28" s="272">
        <v>-693</v>
      </c>
      <c r="BD28" s="428">
        <v>45</v>
      </c>
      <c r="BE28" s="428">
        <v>-648</v>
      </c>
      <c r="BF28" s="428">
        <v>-1550</v>
      </c>
      <c r="BG28" s="428">
        <v>-2198</v>
      </c>
      <c r="BH28" s="428">
        <v>-584</v>
      </c>
      <c r="BI28" s="273">
        <v>-2782</v>
      </c>
      <c r="BJ28" s="274"/>
      <c r="BK28" s="272">
        <v>-485</v>
      </c>
      <c r="BL28" s="271">
        <v>111</v>
      </c>
      <c r="BM28" s="271">
        <v>-374</v>
      </c>
      <c r="BN28" s="271">
        <v>-362</v>
      </c>
      <c r="BO28" s="271">
        <v>-736</v>
      </c>
      <c r="BP28" s="271">
        <v>138</v>
      </c>
      <c r="BQ28" s="273">
        <v>-598</v>
      </c>
      <c r="BR28" s="271"/>
      <c r="BS28" s="272">
        <v>227</v>
      </c>
      <c r="BT28" s="271">
        <v>-1189</v>
      </c>
      <c r="BU28" s="271">
        <v>-962</v>
      </c>
      <c r="BV28" s="271">
        <v>-10312</v>
      </c>
      <c r="BW28" s="273">
        <v>-11274</v>
      </c>
    </row>
    <row r="29" spans="1:75" x14ac:dyDescent="0.25">
      <c r="A29" s="4" t="s">
        <v>219</v>
      </c>
      <c r="B29" s="308" t="s">
        <v>24</v>
      </c>
      <c r="C29" s="274"/>
      <c r="D29" s="274"/>
      <c r="E29" s="706">
        <f t="shared" ref="E29" si="15">E24-SUM(E25:E28)</f>
        <v>-2534.2349999999997</v>
      </c>
      <c r="F29" s="274"/>
      <c r="G29" s="567">
        <f t="shared" ref="G29:M29" si="16">G24-SUM(G25:G28)</f>
        <v>-4167.415</v>
      </c>
      <c r="H29" s="608">
        <f t="shared" si="16"/>
        <v>-2563.0869999999995</v>
      </c>
      <c r="I29" s="608">
        <f t="shared" si="16"/>
        <v>-6730.5019999999995</v>
      </c>
      <c r="J29" s="608">
        <f t="shared" si="16"/>
        <v>1317.0289999999991</v>
      </c>
      <c r="K29" s="608">
        <f t="shared" si="16"/>
        <v>-5413.4729999999909</v>
      </c>
      <c r="L29" s="608">
        <f t="shared" si="16"/>
        <v>-711.80199999999843</v>
      </c>
      <c r="M29" s="622">
        <f t="shared" si="16"/>
        <v>-6125.2749999999933</v>
      </c>
      <c r="N29" s="274"/>
      <c r="O29" s="567">
        <f t="shared" ref="O29:U29" si="17">O24-SUM(O25:O28)</f>
        <v>-15973</v>
      </c>
      <c r="P29" s="608">
        <f t="shared" si="17"/>
        <v>-39226</v>
      </c>
      <c r="Q29" s="608">
        <f t="shared" si="17"/>
        <v>-55199</v>
      </c>
      <c r="R29" s="608">
        <f t="shared" si="17"/>
        <v>1831</v>
      </c>
      <c r="S29" s="608">
        <f t="shared" si="17"/>
        <v>-53368</v>
      </c>
      <c r="T29" s="608">
        <f t="shared" si="17"/>
        <v>-1483</v>
      </c>
      <c r="U29" s="608">
        <f t="shared" si="17"/>
        <v>-54851</v>
      </c>
      <c r="V29" s="483"/>
      <c r="W29" s="567">
        <v>-4501</v>
      </c>
      <c r="X29" s="423">
        <f t="shared" si="1"/>
        <v>-3480</v>
      </c>
      <c r="Y29" s="423">
        <v>-7981</v>
      </c>
      <c r="Z29" s="406">
        <f t="shared" si="14"/>
        <v>-28881</v>
      </c>
      <c r="AA29" s="423">
        <v>-36862</v>
      </c>
      <c r="AB29" s="406">
        <f t="shared" si="14"/>
        <v>-3182.9270000000033</v>
      </c>
      <c r="AC29" s="40">
        <v>-40044.927000000003</v>
      </c>
      <c r="AD29" s="483"/>
      <c r="AE29" s="84">
        <v>713</v>
      </c>
      <c r="AF29" s="423">
        <f t="shared" si="0"/>
        <v>2434</v>
      </c>
      <c r="AG29" s="423">
        <v>3147</v>
      </c>
      <c r="AH29" s="423">
        <f t="shared" si="3"/>
        <v>4679</v>
      </c>
      <c r="AI29" s="423">
        <v>7826</v>
      </c>
      <c r="AJ29" s="423">
        <f t="shared" si="4"/>
        <v>-3699</v>
      </c>
      <c r="AK29" s="40">
        <v>4127</v>
      </c>
      <c r="AL29" s="274"/>
      <c r="AM29" s="84">
        <v>5225</v>
      </c>
      <c r="AN29" s="423">
        <v>5364</v>
      </c>
      <c r="AO29" s="423">
        <v>10589</v>
      </c>
      <c r="AP29" s="423">
        <v>8568</v>
      </c>
      <c r="AQ29" s="423">
        <v>19157</v>
      </c>
      <c r="AR29" s="423">
        <f t="shared" si="5"/>
        <v>3878</v>
      </c>
      <c r="AS29" s="40">
        <v>23035</v>
      </c>
      <c r="AT29" s="274"/>
      <c r="AU29" s="84">
        <v>-3302</v>
      </c>
      <c r="AV29" s="423">
        <v>-6239</v>
      </c>
      <c r="AW29" s="423">
        <v>-9541</v>
      </c>
      <c r="AX29" s="423">
        <v>13786</v>
      </c>
      <c r="AY29" s="423">
        <v>4245</v>
      </c>
      <c r="AZ29" s="423">
        <v>6916</v>
      </c>
      <c r="BA29" s="40">
        <v>11161</v>
      </c>
      <c r="BB29" s="274"/>
      <c r="BC29" s="84">
        <v>-1865</v>
      </c>
      <c r="BD29" s="423">
        <v>-3771</v>
      </c>
      <c r="BE29" s="423">
        <v>-5636</v>
      </c>
      <c r="BF29" s="423">
        <v>-29606</v>
      </c>
      <c r="BG29" s="423">
        <v>-35242</v>
      </c>
      <c r="BH29" s="423">
        <v>-1740</v>
      </c>
      <c r="BI29" s="40">
        <v>-36982</v>
      </c>
      <c r="BJ29" s="274"/>
      <c r="BK29" s="84">
        <v>-1286</v>
      </c>
      <c r="BL29" s="39">
        <v>719</v>
      </c>
      <c r="BM29" s="39">
        <v>-567</v>
      </c>
      <c r="BN29" s="39">
        <v>-367</v>
      </c>
      <c r="BO29" s="39">
        <v>-934</v>
      </c>
      <c r="BP29" s="39">
        <v>-3524</v>
      </c>
      <c r="BQ29" s="40">
        <v>-4458</v>
      </c>
      <c r="BR29" s="39"/>
      <c r="BS29" s="84">
        <v>-1053</v>
      </c>
      <c r="BT29" s="39">
        <v>-2322</v>
      </c>
      <c r="BU29" s="39">
        <v>-3375</v>
      </c>
      <c r="BV29" s="39">
        <v>11009</v>
      </c>
      <c r="BW29" s="40">
        <v>7634</v>
      </c>
    </row>
    <row r="30" spans="1:75" outlineLevel="1" x14ac:dyDescent="0.25">
      <c r="A30" s="4"/>
      <c r="B30" s="307" t="s">
        <v>54</v>
      </c>
      <c r="C30" s="274"/>
      <c r="D30" s="274"/>
      <c r="E30" s="740"/>
      <c r="F30" s="274"/>
      <c r="G30" s="569"/>
      <c r="H30" s="423"/>
      <c r="I30" s="423"/>
      <c r="J30" s="423"/>
      <c r="K30" s="423"/>
      <c r="L30" s="423"/>
      <c r="M30" s="40"/>
      <c r="N30" s="274"/>
      <c r="O30" s="569"/>
      <c r="P30" s="423"/>
      <c r="Q30" s="423"/>
      <c r="R30" s="423"/>
      <c r="S30" s="423"/>
      <c r="T30" s="423"/>
      <c r="U30" s="423"/>
      <c r="V30" s="483"/>
      <c r="W30" s="569"/>
      <c r="X30" s="423"/>
      <c r="Y30" s="423"/>
      <c r="Z30" s="408"/>
      <c r="AA30" s="423"/>
      <c r="AB30" s="408"/>
      <c r="AC30" s="40"/>
      <c r="AD30" s="483"/>
      <c r="AE30" s="84"/>
      <c r="AF30" s="423">
        <f t="shared" si="0"/>
        <v>0</v>
      </c>
      <c r="AG30" s="423">
        <v>0</v>
      </c>
      <c r="AH30" s="423">
        <f t="shared" si="3"/>
        <v>0</v>
      </c>
      <c r="AI30" s="423"/>
      <c r="AJ30" s="423">
        <f t="shared" si="4"/>
        <v>0</v>
      </c>
      <c r="AK30" s="40">
        <v>0</v>
      </c>
      <c r="AL30" s="274"/>
      <c r="AM30" s="84"/>
      <c r="AN30" s="423"/>
      <c r="AO30" s="423"/>
      <c r="AP30" s="423"/>
      <c r="AQ30" s="423"/>
      <c r="AR30" s="423"/>
      <c r="AS30" s="40"/>
      <c r="AT30" s="274"/>
      <c r="AU30" s="84"/>
      <c r="AV30" s="423"/>
      <c r="AW30" s="423"/>
      <c r="AX30" s="423"/>
      <c r="AY30" s="423"/>
      <c r="AZ30" s="423"/>
      <c r="BA30" s="40"/>
      <c r="BB30" s="274"/>
      <c r="BC30" s="84"/>
      <c r="BD30" s="423"/>
      <c r="BE30" s="423"/>
      <c r="BF30" s="423"/>
      <c r="BG30" s="423"/>
      <c r="BH30" s="423"/>
      <c r="BI30" s="40"/>
      <c r="BJ30" s="274"/>
      <c r="BK30" s="84"/>
      <c r="BL30" s="39"/>
      <c r="BM30" s="39"/>
      <c r="BN30" s="39"/>
      <c r="BO30" s="39"/>
      <c r="BP30" s="39"/>
      <c r="BQ30" s="40"/>
      <c r="BR30" s="39"/>
      <c r="BS30" s="84"/>
      <c r="BT30" s="39"/>
      <c r="BU30" s="39"/>
      <c r="BV30" s="39"/>
      <c r="BW30" s="40"/>
    </row>
    <row r="31" spans="1:75" outlineLevel="1" x14ac:dyDescent="0.25">
      <c r="A31" s="4" t="s">
        <v>21</v>
      </c>
      <c r="B31" s="302" t="s">
        <v>21</v>
      </c>
      <c r="C31" s="274"/>
      <c r="D31" s="274"/>
      <c r="E31" s="740">
        <f>E28</f>
        <v>63.874000000000002</v>
      </c>
      <c r="F31" s="274"/>
      <c r="G31" s="569">
        <f>G28</f>
        <v>43.673000000000002</v>
      </c>
      <c r="H31" s="609">
        <f t="shared" ref="H31:M31" si="18">H28</f>
        <v>69.456999999999994</v>
      </c>
      <c r="I31" s="609">
        <f t="shared" si="18"/>
        <v>113.13</v>
      </c>
      <c r="J31" s="609">
        <f t="shared" si="18"/>
        <v>-72.403999999999996</v>
      </c>
      <c r="K31" s="609">
        <f t="shared" si="18"/>
        <v>40.725999999999999</v>
      </c>
      <c r="L31" s="609">
        <f t="shared" si="18"/>
        <v>-136.148</v>
      </c>
      <c r="M31" s="623">
        <f t="shared" si="18"/>
        <v>-95.421999999999997</v>
      </c>
      <c r="N31" s="274"/>
      <c r="O31" s="569">
        <f>O28</f>
        <v>579</v>
      </c>
      <c r="P31" s="609">
        <f t="shared" ref="P31:Q31" si="19">P28</f>
        <v>8717</v>
      </c>
      <c r="Q31" s="609">
        <f t="shared" si="19"/>
        <v>9297</v>
      </c>
      <c r="R31" s="609">
        <f t="shared" ref="R31:S31" si="20">R28</f>
        <v>-2223</v>
      </c>
      <c r="S31" s="609">
        <f t="shared" si="20"/>
        <v>7074</v>
      </c>
      <c r="T31" s="609">
        <f t="shared" ref="T31:U31" si="21">T28</f>
        <v>-264</v>
      </c>
      <c r="U31" s="609">
        <f t="shared" si="21"/>
        <v>6810</v>
      </c>
      <c r="V31" s="483"/>
      <c r="W31" s="569">
        <v>-1455</v>
      </c>
      <c r="X31" s="424">
        <f t="shared" si="1"/>
        <v>-1499</v>
      </c>
      <c r="Y31" s="424">
        <v>-2954</v>
      </c>
      <c r="Z31" s="408">
        <f t="shared" ref="Z31:AB36" si="22">AA31-Y31</f>
        <v>-2951</v>
      </c>
      <c r="AA31" s="424">
        <v>-5905</v>
      </c>
      <c r="AB31" s="408">
        <f t="shared" si="22"/>
        <v>289.36399999999958</v>
      </c>
      <c r="AC31" s="86">
        <v>-5615.6360000000004</v>
      </c>
      <c r="AD31" s="483"/>
      <c r="AE31" s="85">
        <v>202</v>
      </c>
      <c r="AF31" s="424">
        <f t="shared" si="0"/>
        <v>754</v>
      </c>
      <c r="AG31" s="424">
        <v>956</v>
      </c>
      <c r="AH31" s="424">
        <f t="shared" si="3"/>
        <v>1416</v>
      </c>
      <c r="AI31" s="424">
        <v>2372</v>
      </c>
      <c r="AJ31" s="424">
        <f t="shared" si="4"/>
        <v>-810</v>
      </c>
      <c r="AK31" s="86">
        <v>1562</v>
      </c>
      <c r="AL31" s="274"/>
      <c r="AM31" s="85">
        <v>1506</v>
      </c>
      <c r="AN31" s="424">
        <v>1541</v>
      </c>
      <c r="AO31" s="424">
        <v>3047</v>
      </c>
      <c r="AP31" s="424">
        <v>2334</v>
      </c>
      <c r="AQ31" s="424">
        <v>5381</v>
      </c>
      <c r="AR31" s="424">
        <f t="shared" si="5"/>
        <v>856</v>
      </c>
      <c r="AS31" s="86">
        <v>6237</v>
      </c>
      <c r="AT31" s="274"/>
      <c r="AU31" s="85">
        <v>-453</v>
      </c>
      <c r="AV31" s="424">
        <v>6781</v>
      </c>
      <c r="AW31" s="424">
        <v>6328</v>
      </c>
      <c r="AX31" s="424">
        <v>-4942</v>
      </c>
      <c r="AY31" s="424">
        <v>1386</v>
      </c>
      <c r="AZ31" s="424">
        <v>2174</v>
      </c>
      <c r="BA31" s="86">
        <v>3560</v>
      </c>
      <c r="BB31" s="274"/>
      <c r="BC31" s="85">
        <v>-693</v>
      </c>
      <c r="BD31" s="424">
        <v>45</v>
      </c>
      <c r="BE31" s="424">
        <v>-648</v>
      </c>
      <c r="BF31" s="424">
        <v>-1550</v>
      </c>
      <c r="BG31" s="424">
        <v>-2198</v>
      </c>
      <c r="BH31" s="424">
        <v>-584</v>
      </c>
      <c r="BI31" s="86">
        <v>-2782</v>
      </c>
      <c r="BJ31" s="274"/>
      <c r="BK31" s="85">
        <v>-485</v>
      </c>
      <c r="BL31" s="38">
        <v>111</v>
      </c>
      <c r="BM31" s="38">
        <v>-374</v>
      </c>
      <c r="BN31" s="38">
        <v>-362</v>
      </c>
      <c r="BO31" s="38">
        <v>-736</v>
      </c>
      <c r="BP31" s="38">
        <v>138</v>
      </c>
      <c r="BQ31" s="86">
        <v>-598</v>
      </c>
      <c r="BR31" s="38"/>
      <c r="BS31" s="85">
        <v>227</v>
      </c>
      <c r="BT31" s="38">
        <v>-1189</v>
      </c>
      <c r="BU31" s="38">
        <v>-962</v>
      </c>
      <c r="BV31" s="38">
        <v>-10312</v>
      </c>
      <c r="BW31" s="86">
        <v>-11274</v>
      </c>
    </row>
    <row r="32" spans="1:75" outlineLevel="1" x14ac:dyDescent="0.25">
      <c r="A32" s="4" t="s">
        <v>195</v>
      </c>
      <c r="B32" s="302" t="s">
        <v>19</v>
      </c>
      <c r="C32" s="274"/>
      <c r="D32" s="274"/>
      <c r="E32" s="740">
        <v>6.34</v>
      </c>
      <c r="F32" s="274"/>
      <c r="G32" s="569">
        <f>G26</f>
        <v>-0.95099999999999996</v>
      </c>
      <c r="H32" s="609">
        <f t="shared" ref="H32:M32" si="23">H26</f>
        <v>-12.27</v>
      </c>
      <c r="I32" s="609">
        <f t="shared" si="23"/>
        <v>-13.221</v>
      </c>
      <c r="J32" s="609">
        <f t="shared" si="23"/>
        <v>21.305</v>
      </c>
      <c r="K32" s="609">
        <f t="shared" si="23"/>
        <v>8.0839999999999996</v>
      </c>
      <c r="L32" s="609">
        <f t="shared" si="23"/>
        <v>-6.81</v>
      </c>
      <c r="M32" s="623">
        <f t="shared" si="23"/>
        <v>1.274</v>
      </c>
      <c r="N32" s="274"/>
      <c r="O32" s="569">
        <f>O26</f>
        <v>44</v>
      </c>
      <c r="P32" s="609">
        <f t="shared" ref="P32:Q32" si="24">P26</f>
        <v>11</v>
      </c>
      <c r="Q32" s="609">
        <f t="shared" si="24"/>
        <v>54</v>
      </c>
      <c r="R32" s="609">
        <f t="shared" ref="R32:S32" si="25">R26</f>
        <v>-1</v>
      </c>
      <c r="S32" s="609">
        <f t="shared" si="25"/>
        <v>53</v>
      </c>
      <c r="T32" s="609">
        <f t="shared" ref="T32:U32" si="26">T26</f>
        <v>-1</v>
      </c>
      <c r="U32" s="609">
        <f t="shared" si="26"/>
        <v>52</v>
      </c>
      <c r="V32" s="483"/>
      <c r="W32" s="569">
        <v>124</v>
      </c>
      <c r="X32" s="424">
        <f t="shared" si="1"/>
        <v>70</v>
      </c>
      <c r="Y32" s="424">
        <v>194</v>
      </c>
      <c r="Z32" s="408">
        <f t="shared" si="22"/>
        <v>38</v>
      </c>
      <c r="AA32" s="424">
        <v>232</v>
      </c>
      <c r="AB32" s="408">
        <f t="shared" si="22"/>
        <v>120.49000000000001</v>
      </c>
      <c r="AC32" s="86">
        <v>352.49</v>
      </c>
      <c r="AD32" s="483"/>
      <c r="AE32" s="85">
        <v>17</v>
      </c>
      <c r="AF32" s="424">
        <f t="shared" si="0"/>
        <v>55</v>
      </c>
      <c r="AG32" s="424">
        <v>72</v>
      </c>
      <c r="AH32" s="424">
        <f t="shared" si="3"/>
        <v>70</v>
      </c>
      <c r="AI32" s="424">
        <v>142</v>
      </c>
      <c r="AJ32" s="424">
        <f t="shared" si="4"/>
        <v>87</v>
      </c>
      <c r="AK32" s="86">
        <v>229</v>
      </c>
      <c r="AL32" s="274"/>
      <c r="AM32" s="85">
        <v>44</v>
      </c>
      <c r="AN32" s="424">
        <v>46</v>
      </c>
      <c r="AO32" s="424">
        <v>90</v>
      </c>
      <c r="AP32" s="424">
        <v>35</v>
      </c>
      <c r="AQ32" s="424">
        <v>125</v>
      </c>
      <c r="AR32" s="424">
        <f t="shared" si="5"/>
        <v>40</v>
      </c>
      <c r="AS32" s="86">
        <v>165</v>
      </c>
      <c r="AT32" s="274"/>
      <c r="AU32" s="85">
        <v>35</v>
      </c>
      <c r="AV32" s="424">
        <v>41</v>
      </c>
      <c r="AW32" s="424">
        <v>76</v>
      </c>
      <c r="AX32" s="424">
        <v>26</v>
      </c>
      <c r="AY32" s="424">
        <v>102</v>
      </c>
      <c r="AZ32" s="424">
        <v>29</v>
      </c>
      <c r="BA32" s="86">
        <v>131</v>
      </c>
      <c r="BB32" s="274"/>
      <c r="BC32" s="85">
        <v>48</v>
      </c>
      <c r="BD32" s="424">
        <v>64</v>
      </c>
      <c r="BE32" s="424">
        <v>112</v>
      </c>
      <c r="BF32" s="424">
        <v>61</v>
      </c>
      <c r="BG32" s="424">
        <v>173</v>
      </c>
      <c r="BH32" s="424">
        <v>69</v>
      </c>
      <c r="BI32" s="86">
        <v>242</v>
      </c>
      <c r="BJ32" s="274"/>
      <c r="BK32" s="85">
        <v>73</v>
      </c>
      <c r="BL32" s="38">
        <v>75</v>
      </c>
      <c r="BM32" s="38">
        <v>148</v>
      </c>
      <c r="BN32" s="38">
        <v>87</v>
      </c>
      <c r="BO32" s="38">
        <v>235</v>
      </c>
      <c r="BP32" s="38">
        <v>46</v>
      </c>
      <c r="BQ32" s="86">
        <v>281</v>
      </c>
      <c r="BR32" s="38"/>
      <c r="BS32" s="85">
        <v>4</v>
      </c>
      <c r="BT32" s="38">
        <v>19</v>
      </c>
      <c r="BU32" s="38">
        <v>23</v>
      </c>
      <c r="BV32" s="38">
        <v>144</v>
      </c>
      <c r="BW32" s="86">
        <v>167</v>
      </c>
    </row>
    <row r="33" spans="1:75" outlineLevel="1" x14ac:dyDescent="0.25">
      <c r="A33" s="4" t="s">
        <v>95</v>
      </c>
      <c r="B33" s="302" t="s">
        <v>20</v>
      </c>
      <c r="C33" s="274"/>
      <c r="D33" s="274"/>
      <c r="E33" s="740">
        <v>1416.4590000000001</v>
      </c>
      <c r="F33" s="274"/>
      <c r="G33" s="569">
        <f>G27</f>
        <v>1421.011</v>
      </c>
      <c r="H33" s="609">
        <f t="shared" ref="H33:M33" si="27">H27</f>
        <v>1674.7280000000001</v>
      </c>
      <c r="I33" s="609">
        <f t="shared" si="27"/>
        <v>3095.739</v>
      </c>
      <c r="J33" s="609">
        <f t="shared" si="27"/>
        <v>1908.5889999999999</v>
      </c>
      <c r="K33" s="609">
        <f t="shared" si="27"/>
        <v>5004.3280000000004</v>
      </c>
      <c r="L33" s="609">
        <f t="shared" si="27"/>
        <v>1547.5920000000001</v>
      </c>
      <c r="M33" s="623">
        <f t="shared" si="27"/>
        <v>6551.92</v>
      </c>
      <c r="N33" s="274"/>
      <c r="O33" s="569">
        <f>O27</f>
        <v>3218</v>
      </c>
      <c r="P33" s="609">
        <f t="shared" ref="P33:Q33" si="28">P27</f>
        <v>2364</v>
      </c>
      <c r="Q33" s="609">
        <f t="shared" si="28"/>
        <v>5582</v>
      </c>
      <c r="R33" s="609">
        <f t="shared" ref="R33:S33" si="29">R27</f>
        <v>2038</v>
      </c>
      <c r="S33" s="609">
        <f t="shared" si="29"/>
        <v>7620</v>
      </c>
      <c r="T33" s="609">
        <f t="shared" ref="T33:U33" si="30">T27</f>
        <v>1635</v>
      </c>
      <c r="U33" s="609">
        <f t="shared" si="30"/>
        <v>9255</v>
      </c>
      <c r="V33" s="483"/>
      <c r="W33" s="569">
        <v>3128</v>
      </c>
      <c r="X33" s="424">
        <f t="shared" si="1"/>
        <v>3309</v>
      </c>
      <c r="Y33" s="424">
        <v>6437</v>
      </c>
      <c r="Z33" s="408">
        <f t="shared" si="22"/>
        <v>3633</v>
      </c>
      <c r="AA33" s="424">
        <v>10070</v>
      </c>
      <c r="AB33" s="408">
        <f t="shared" si="22"/>
        <v>3439.7250000000004</v>
      </c>
      <c r="AC33" s="86">
        <v>13509.725</v>
      </c>
      <c r="AD33" s="483"/>
      <c r="AE33" s="85">
        <v>1853</v>
      </c>
      <c r="AF33" s="424">
        <f t="shared" si="0"/>
        <v>2137</v>
      </c>
      <c r="AG33" s="424">
        <v>3990</v>
      </c>
      <c r="AH33" s="424">
        <f t="shared" si="3"/>
        <v>2997</v>
      </c>
      <c r="AI33" s="424">
        <v>6987</v>
      </c>
      <c r="AJ33" s="424">
        <f t="shared" si="4"/>
        <v>3295</v>
      </c>
      <c r="AK33" s="86">
        <v>10282</v>
      </c>
      <c r="AL33" s="274"/>
      <c r="AM33" s="85">
        <v>1818</v>
      </c>
      <c r="AN33" s="424">
        <v>1866</v>
      </c>
      <c r="AO33" s="424">
        <v>3684</v>
      </c>
      <c r="AP33" s="424">
        <v>1902</v>
      </c>
      <c r="AQ33" s="424">
        <v>5586</v>
      </c>
      <c r="AR33" s="424">
        <f t="shared" si="5"/>
        <v>1875</v>
      </c>
      <c r="AS33" s="86">
        <v>7461</v>
      </c>
      <c r="AT33" s="274"/>
      <c r="AU33" s="85">
        <v>2517</v>
      </c>
      <c r="AV33" s="424">
        <v>2274</v>
      </c>
      <c r="AW33" s="424">
        <v>4791</v>
      </c>
      <c r="AX33" s="424">
        <v>2154</v>
      </c>
      <c r="AY33" s="424">
        <v>6945</v>
      </c>
      <c r="AZ33" s="424">
        <v>1970</v>
      </c>
      <c r="BA33" s="86">
        <v>8915</v>
      </c>
      <c r="BB33" s="274"/>
      <c r="BC33" s="85">
        <v>2779</v>
      </c>
      <c r="BD33" s="424">
        <v>2820</v>
      </c>
      <c r="BE33" s="424">
        <v>5599</v>
      </c>
      <c r="BF33" s="424">
        <v>2885</v>
      </c>
      <c r="BG33" s="424">
        <v>8484</v>
      </c>
      <c r="BH33" s="424">
        <v>2710</v>
      </c>
      <c r="BI33" s="86">
        <v>11194</v>
      </c>
      <c r="BJ33" s="274"/>
      <c r="BK33" s="85">
        <v>1915</v>
      </c>
      <c r="BL33" s="38">
        <v>2062</v>
      </c>
      <c r="BM33" s="38">
        <v>3977</v>
      </c>
      <c r="BN33" s="38">
        <v>2424</v>
      </c>
      <c r="BO33" s="38">
        <v>6401</v>
      </c>
      <c r="BP33" s="38">
        <v>2897</v>
      </c>
      <c r="BQ33" s="86">
        <v>9298</v>
      </c>
      <c r="BR33" s="38"/>
      <c r="BS33" s="85">
        <v>590</v>
      </c>
      <c r="BT33" s="38">
        <v>1971</v>
      </c>
      <c r="BU33" s="38">
        <v>2561</v>
      </c>
      <c r="BV33" s="38">
        <v>2029</v>
      </c>
      <c r="BW33" s="86">
        <v>4590</v>
      </c>
    </row>
    <row r="34" spans="1:75" outlineLevel="1" x14ac:dyDescent="0.25">
      <c r="A34" s="4" t="s">
        <v>96</v>
      </c>
      <c r="B34" s="302" t="s">
        <v>55</v>
      </c>
      <c r="C34" s="274"/>
      <c r="D34" s="274"/>
      <c r="E34" s="742">
        <v>1390</v>
      </c>
      <c r="F34" s="274"/>
      <c r="G34" s="624">
        <v>1364</v>
      </c>
      <c r="H34" s="586">
        <v>1364</v>
      </c>
      <c r="I34" s="586">
        <v>2728</v>
      </c>
      <c r="J34" s="586">
        <v>1348</v>
      </c>
      <c r="K34" s="586">
        <v>4076</v>
      </c>
      <c r="L34" s="586">
        <v>1423</v>
      </c>
      <c r="M34" s="595">
        <v>5499</v>
      </c>
      <c r="N34" s="274"/>
      <c r="O34" s="569">
        <v>3271</v>
      </c>
      <c r="P34" s="424">
        <v>2002</v>
      </c>
      <c r="Q34" s="424">
        <v>5273</v>
      </c>
      <c r="R34" s="424">
        <v>1392</v>
      </c>
      <c r="S34" s="424">
        <v>6665</v>
      </c>
      <c r="T34" s="424">
        <f>U34-S34</f>
        <v>1359</v>
      </c>
      <c r="U34" s="424">
        <v>8024</v>
      </c>
      <c r="V34" s="483"/>
      <c r="W34" s="569">
        <v>3284</v>
      </c>
      <c r="X34" s="424">
        <f t="shared" si="1"/>
        <v>3295</v>
      </c>
      <c r="Y34" s="424">
        <v>6579</v>
      </c>
      <c r="Z34" s="408">
        <f t="shared" si="22"/>
        <v>3267</v>
      </c>
      <c r="AA34" s="424">
        <v>9846</v>
      </c>
      <c r="AB34" s="408">
        <f t="shared" si="22"/>
        <v>3254.4410000000007</v>
      </c>
      <c r="AC34" s="86">
        <v>13100.441000000001</v>
      </c>
      <c r="AD34" s="483"/>
      <c r="AE34" s="85">
        <v>3195</v>
      </c>
      <c r="AF34" s="424">
        <f t="shared" si="0"/>
        <v>3218</v>
      </c>
      <c r="AG34" s="424">
        <f>6561-148</f>
        <v>6413</v>
      </c>
      <c r="AH34" s="424">
        <f t="shared" si="3"/>
        <v>3327</v>
      </c>
      <c r="AI34" s="424">
        <v>9740</v>
      </c>
      <c r="AJ34" s="424">
        <f t="shared" si="4"/>
        <v>3290</v>
      </c>
      <c r="AK34" s="86">
        <f>13374-344</f>
        <v>13030</v>
      </c>
      <c r="AL34" s="274"/>
      <c r="AM34" s="85">
        <v>3073</v>
      </c>
      <c r="AN34" s="424">
        <v>3145</v>
      </c>
      <c r="AO34" s="424">
        <v>6218</v>
      </c>
      <c r="AP34" s="424">
        <v>3093</v>
      </c>
      <c r="AQ34" s="424">
        <v>9311</v>
      </c>
      <c r="AR34" s="424">
        <f t="shared" si="5"/>
        <v>3140</v>
      </c>
      <c r="AS34" s="86">
        <v>12451</v>
      </c>
      <c r="AT34" s="274"/>
      <c r="AU34" s="85">
        <v>3247</v>
      </c>
      <c r="AV34" s="424">
        <v>3113</v>
      </c>
      <c r="AW34" s="424">
        <v>6360</v>
      </c>
      <c r="AX34" s="424">
        <v>3120</v>
      </c>
      <c r="AY34" s="424">
        <v>9480</v>
      </c>
      <c r="AZ34" s="424">
        <v>3075</v>
      </c>
      <c r="BA34" s="86">
        <v>12555</v>
      </c>
      <c r="BB34" s="274"/>
      <c r="BC34" s="85">
        <v>3251</v>
      </c>
      <c r="BD34" s="424">
        <v>3289</v>
      </c>
      <c r="BE34" s="424">
        <v>6540</v>
      </c>
      <c r="BF34" s="424">
        <v>3217</v>
      </c>
      <c r="BG34" s="424">
        <v>9757</v>
      </c>
      <c r="BH34" s="424">
        <v>3227</v>
      </c>
      <c r="BI34" s="86">
        <v>12984</v>
      </c>
      <c r="BJ34" s="274"/>
      <c r="BK34" s="85">
        <v>1991</v>
      </c>
      <c r="BL34" s="38">
        <v>2013</v>
      </c>
      <c r="BM34" s="38">
        <v>4004</v>
      </c>
      <c r="BN34" s="38">
        <v>2077</v>
      </c>
      <c r="BO34" s="38">
        <v>6081</v>
      </c>
      <c r="BP34" s="38">
        <v>6038</v>
      </c>
      <c r="BQ34" s="86">
        <v>12119</v>
      </c>
      <c r="BR34" s="38"/>
      <c r="BS34" s="85">
        <v>249</v>
      </c>
      <c r="BT34" s="38">
        <v>5593</v>
      </c>
      <c r="BU34" s="38">
        <v>5842</v>
      </c>
      <c r="BV34" s="38">
        <v>1884</v>
      </c>
      <c r="BW34" s="86">
        <v>7726</v>
      </c>
    </row>
    <row r="35" spans="1:75" outlineLevel="1" x14ac:dyDescent="0.25">
      <c r="A35" s="4" t="s">
        <v>220</v>
      </c>
      <c r="B35" s="302" t="s">
        <v>56</v>
      </c>
      <c r="C35" s="274"/>
      <c r="D35" s="274"/>
      <c r="E35" s="743">
        <v>5</v>
      </c>
      <c r="F35" s="274"/>
      <c r="G35" s="628">
        <v>5</v>
      </c>
      <c r="H35" s="634">
        <v>4</v>
      </c>
      <c r="I35" s="634">
        <v>9</v>
      </c>
      <c r="J35" s="634">
        <v>5</v>
      </c>
      <c r="K35" s="634">
        <v>14</v>
      </c>
      <c r="L35" s="634">
        <v>4</v>
      </c>
      <c r="M35" s="635">
        <v>18</v>
      </c>
      <c r="N35" s="274"/>
      <c r="O35" s="570">
        <v>5</v>
      </c>
      <c r="P35" s="425">
        <v>4</v>
      </c>
      <c r="Q35" s="425">
        <v>9</v>
      </c>
      <c r="R35" s="425">
        <v>5</v>
      </c>
      <c r="S35" s="425">
        <v>14</v>
      </c>
      <c r="T35" s="425">
        <v>4</v>
      </c>
      <c r="U35" s="425">
        <v>18</v>
      </c>
      <c r="V35" s="483"/>
      <c r="W35" s="570">
        <v>103</v>
      </c>
      <c r="X35" s="425">
        <f t="shared" si="1"/>
        <v>69</v>
      </c>
      <c r="Y35" s="425">
        <v>172</v>
      </c>
      <c r="Z35" s="409">
        <f t="shared" si="22"/>
        <v>5</v>
      </c>
      <c r="AA35" s="425">
        <v>177</v>
      </c>
      <c r="AB35" s="409">
        <f t="shared" si="22"/>
        <v>4.5589999999999975</v>
      </c>
      <c r="AC35" s="193">
        <v>181.559</v>
      </c>
      <c r="AD35" s="483"/>
      <c r="AE35" s="198">
        <v>74</v>
      </c>
      <c r="AF35" s="425">
        <f t="shared" si="0"/>
        <v>74</v>
      </c>
      <c r="AG35" s="425">
        <v>148</v>
      </c>
      <c r="AH35" s="425">
        <f t="shared" si="3"/>
        <v>93</v>
      </c>
      <c r="AI35" s="425">
        <v>241</v>
      </c>
      <c r="AJ35" s="425">
        <f t="shared" si="4"/>
        <v>103</v>
      </c>
      <c r="AK35" s="193">
        <v>344</v>
      </c>
      <c r="AL35" s="274"/>
      <c r="AM35" s="198">
        <v>55</v>
      </c>
      <c r="AN35" s="425">
        <v>55</v>
      </c>
      <c r="AO35" s="425">
        <v>110</v>
      </c>
      <c r="AP35" s="425">
        <v>68</v>
      </c>
      <c r="AQ35" s="425">
        <v>178</v>
      </c>
      <c r="AR35" s="425">
        <f t="shared" si="5"/>
        <v>75</v>
      </c>
      <c r="AS35" s="193">
        <v>253</v>
      </c>
      <c r="AT35" s="274"/>
      <c r="AU35" s="198">
        <v>58</v>
      </c>
      <c r="AV35" s="425">
        <v>56</v>
      </c>
      <c r="AW35" s="425">
        <v>114</v>
      </c>
      <c r="AX35" s="425">
        <v>57</v>
      </c>
      <c r="AY35" s="425">
        <v>171</v>
      </c>
      <c r="AZ35" s="425">
        <v>55</v>
      </c>
      <c r="BA35" s="193">
        <v>226</v>
      </c>
      <c r="BB35" s="274"/>
      <c r="BC35" s="198">
        <v>61</v>
      </c>
      <c r="BD35" s="425">
        <v>60</v>
      </c>
      <c r="BE35" s="425">
        <v>121</v>
      </c>
      <c r="BF35" s="425">
        <v>59</v>
      </c>
      <c r="BG35" s="425">
        <v>180</v>
      </c>
      <c r="BH35" s="425">
        <v>58</v>
      </c>
      <c r="BI35" s="193">
        <v>238</v>
      </c>
      <c r="BJ35" s="274"/>
      <c r="BK35" s="198">
        <v>58</v>
      </c>
      <c r="BL35" s="192">
        <v>56</v>
      </c>
      <c r="BM35" s="192">
        <v>114</v>
      </c>
      <c r="BN35" s="192">
        <v>57</v>
      </c>
      <c r="BO35" s="192">
        <v>171</v>
      </c>
      <c r="BP35" s="192">
        <v>62</v>
      </c>
      <c r="BQ35" s="193">
        <v>233</v>
      </c>
      <c r="BR35" s="192"/>
      <c r="BS35" s="198">
        <v>23</v>
      </c>
      <c r="BT35" s="192">
        <v>67</v>
      </c>
      <c r="BU35" s="192">
        <v>90</v>
      </c>
      <c r="BV35" s="192">
        <v>62</v>
      </c>
      <c r="BW35" s="193">
        <v>152</v>
      </c>
    </row>
    <row r="36" spans="1:75" x14ac:dyDescent="0.25">
      <c r="A36" s="4" t="s">
        <v>57</v>
      </c>
      <c r="B36" s="308" t="s">
        <v>57</v>
      </c>
      <c r="C36" s="274"/>
      <c r="D36" s="274"/>
      <c r="E36" s="705">
        <f>SUM(E29:E35)</f>
        <v>347.43800000000033</v>
      </c>
      <c r="F36" s="274"/>
      <c r="G36" s="567">
        <f>SUM(G29:G35)</f>
        <v>-1334.6820000000002</v>
      </c>
      <c r="H36" s="608">
        <f t="shared" ref="H36:M36" si="31">SUM(H29:H35)</f>
        <v>536.82800000000043</v>
      </c>
      <c r="I36" s="608">
        <f t="shared" si="31"/>
        <v>-797.8539999999989</v>
      </c>
      <c r="J36" s="608">
        <f t="shared" si="31"/>
        <v>4527.5189999999993</v>
      </c>
      <c r="K36" s="608">
        <f t="shared" si="31"/>
        <v>3729.6650000000091</v>
      </c>
      <c r="L36" s="608">
        <f t="shared" si="31"/>
        <v>2119.8320000000017</v>
      </c>
      <c r="M36" s="622">
        <f t="shared" si="31"/>
        <v>5849.4970000000076</v>
      </c>
      <c r="N36" s="274"/>
      <c r="O36" s="567">
        <f>SUM(O29:O35)</f>
        <v>-8856</v>
      </c>
      <c r="P36" s="608">
        <f t="shared" ref="P36:Q36" si="32">SUM(P29:P35)</f>
        <v>-26128</v>
      </c>
      <c r="Q36" s="608">
        <f t="shared" si="32"/>
        <v>-34984</v>
      </c>
      <c r="R36" s="608">
        <f t="shared" ref="R36:S36" si="33">SUM(R29:R35)</f>
        <v>3042</v>
      </c>
      <c r="S36" s="608">
        <f t="shared" si="33"/>
        <v>-31942</v>
      </c>
      <c r="T36" s="608">
        <f t="shared" ref="T36:U36" si="34">SUM(T29:T35)</f>
        <v>1250</v>
      </c>
      <c r="U36" s="608">
        <f t="shared" si="34"/>
        <v>-30692</v>
      </c>
      <c r="V36" s="483"/>
      <c r="W36" s="567">
        <v>683</v>
      </c>
      <c r="X36" s="423">
        <f t="shared" si="1"/>
        <v>1764</v>
      </c>
      <c r="Y36" s="423">
        <v>2447</v>
      </c>
      <c r="Z36" s="406">
        <f t="shared" si="22"/>
        <v>-24889</v>
      </c>
      <c r="AA36" s="423">
        <v>-22442</v>
      </c>
      <c r="AB36" s="406">
        <f t="shared" si="22"/>
        <v>3925.5789999999979</v>
      </c>
      <c r="AC36" s="40">
        <v>-18516.421000000002</v>
      </c>
      <c r="AD36" s="483"/>
      <c r="AE36" s="84">
        <v>6054</v>
      </c>
      <c r="AF36" s="423">
        <f t="shared" si="0"/>
        <v>8672</v>
      </c>
      <c r="AG36" s="423">
        <v>14726</v>
      </c>
      <c r="AH36" s="423">
        <f t="shared" si="3"/>
        <v>12582</v>
      </c>
      <c r="AI36" s="423">
        <v>27308</v>
      </c>
      <c r="AJ36" s="423">
        <f t="shared" si="4"/>
        <v>2266</v>
      </c>
      <c r="AK36" s="40">
        <v>29574</v>
      </c>
      <c r="AL36" s="274"/>
      <c r="AM36" s="84">
        <v>11721</v>
      </c>
      <c r="AN36" s="423">
        <v>12017</v>
      </c>
      <c r="AO36" s="423">
        <v>23738</v>
      </c>
      <c r="AP36" s="423">
        <v>16000</v>
      </c>
      <c r="AQ36" s="423">
        <v>39738</v>
      </c>
      <c r="AR36" s="423">
        <f t="shared" si="5"/>
        <v>9864</v>
      </c>
      <c r="AS36" s="40">
        <v>49602</v>
      </c>
      <c r="AT36" s="274"/>
      <c r="AU36" s="84">
        <v>2102</v>
      </c>
      <c r="AV36" s="423">
        <v>6026</v>
      </c>
      <c r="AW36" s="423">
        <v>8128</v>
      </c>
      <c r="AX36" s="423">
        <v>14201</v>
      </c>
      <c r="AY36" s="423">
        <v>22329</v>
      </c>
      <c r="AZ36" s="423">
        <v>14219</v>
      </c>
      <c r="BA36" s="40">
        <v>36548</v>
      </c>
      <c r="BB36" s="274"/>
      <c r="BC36" s="84">
        <v>3581</v>
      </c>
      <c r="BD36" s="423">
        <v>2507</v>
      </c>
      <c r="BE36" s="423">
        <v>6088</v>
      </c>
      <c r="BF36" s="423">
        <v>-24934</v>
      </c>
      <c r="BG36" s="423">
        <v>-18846</v>
      </c>
      <c r="BH36" s="423">
        <v>3740</v>
      </c>
      <c r="BI36" s="40">
        <v>-15106</v>
      </c>
      <c r="BJ36" s="274"/>
      <c r="BK36" s="84">
        <v>2266</v>
      </c>
      <c r="BL36" s="39">
        <v>5036</v>
      </c>
      <c r="BM36" s="39">
        <v>7302</v>
      </c>
      <c r="BN36" s="39">
        <v>3916</v>
      </c>
      <c r="BO36" s="39">
        <v>11218</v>
      </c>
      <c r="BP36" s="39">
        <v>5657</v>
      </c>
      <c r="BQ36" s="40">
        <v>16875</v>
      </c>
      <c r="BR36" s="39"/>
      <c r="BS36" s="84">
        <v>40</v>
      </c>
      <c r="BT36" s="39">
        <v>4139</v>
      </c>
      <c r="BU36" s="39">
        <v>4179</v>
      </c>
      <c r="BV36" s="39">
        <v>4816</v>
      </c>
      <c r="BW36" s="40">
        <v>8995</v>
      </c>
    </row>
    <row r="37" spans="1:75" outlineLevel="1" x14ac:dyDescent="0.25">
      <c r="A37" s="4" t="s">
        <v>233</v>
      </c>
      <c r="B37" s="302" t="s">
        <v>58</v>
      </c>
      <c r="C37" s="274"/>
      <c r="D37" s="274"/>
      <c r="E37" s="742"/>
      <c r="F37" s="274"/>
      <c r="G37" s="569"/>
      <c r="H37" s="423"/>
      <c r="I37" s="424"/>
      <c r="J37" s="423"/>
      <c r="K37" s="424"/>
      <c r="L37" s="424"/>
      <c r="M37" s="86"/>
      <c r="N37" s="274"/>
      <c r="O37" s="569"/>
      <c r="P37" s="423"/>
      <c r="Q37" s="424"/>
      <c r="R37" s="423"/>
      <c r="S37" s="424"/>
      <c r="T37" s="424"/>
      <c r="U37" s="424"/>
      <c r="V37" s="483"/>
      <c r="W37" s="569"/>
      <c r="X37" s="423">
        <f t="shared" si="1"/>
        <v>0</v>
      </c>
      <c r="Y37" s="424"/>
      <c r="Z37" s="408"/>
      <c r="AA37" s="424"/>
      <c r="AB37" s="408"/>
      <c r="AC37" s="86"/>
      <c r="AD37" s="483"/>
      <c r="AE37" s="84">
        <v>0</v>
      </c>
      <c r="AF37" s="423">
        <f t="shared" si="0"/>
        <v>0</v>
      </c>
      <c r="AG37" s="424"/>
      <c r="AH37" s="424">
        <f t="shared" si="3"/>
        <v>0</v>
      </c>
      <c r="AI37" s="424"/>
      <c r="AJ37" s="424">
        <f t="shared" si="4"/>
        <v>0</v>
      </c>
      <c r="AK37" s="86">
        <v>0</v>
      </c>
      <c r="AL37" s="274"/>
      <c r="AM37" s="84">
        <v>0</v>
      </c>
      <c r="AN37" s="423">
        <v>0</v>
      </c>
      <c r="AO37" s="423">
        <v>0</v>
      </c>
      <c r="AP37" s="423">
        <v>0</v>
      </c>
      <c r="AQ37" s="424">
        <v>0</v>
      </c>
      <c r="AR37" s="424">
        <f t="shared" si="5"/>
        <v>0</v>
      </c>
      <c r="AS37" s="86">
        <v>0</v>
      </c>
      <c r="AT37" s="274"/>
      <c r="AU37" s="84">
        <v>0</v>
      </c>
      <c r="AV37" s="423">
        <v>0</v>
      </c>
      <c r="AW37" s="424">
        <v>0</v>
      </c>
      <c r="AX37" s="423">
        <v>0</v>
      </c>
      <c r="AY37" s="424">
        <v>0</v>
      </c>
      <c r="AZ37" s="423">
        <v>0</v>
      </c>
      <c r="BA37" s="86">
        <v>0</v>
      </c>
      <c r="BB37" s="274"/>
      <c r="BC37" s="84">
        <v>0</v>
      </c>
      <c r="BD37" s="423">
        <v>0</v>
      </c>
      <c r="BE37" s="423">
        <v>0</v>
      </c>
      <c r="BF37" s="423">
        <v>0</v>
      </c>
      <c r="BG37" s="423">
        <v>0</v>
      </c>
      <c r="BH37" s="423">
        <v>0</v>
      </c>
      <c r="BI37" s="86">
        <v>0</v>
      </c>
      <c r="BJ37" s="274"/>
      <c r="BK37" s="84">
        <v>0</v>
      </c>
      <c r="BL37" s="39">
        <v>0</v>
      </c>
      <c r="BM37" s="39">
        <v>0</v>
      </c>
      <c r="BN37" s="39">
        <v>0</v>
      </c>
      <c r="BO37" s="39">
        <v>0</v>
      </c>
      <c r="BP37" s="38">
        <v>47</v>
      </c>
      <c r="BQ37" s="86">
        <v>47</v>
      </c>
      <c r="BR37" s="39"/>
      <c r="BS37" s="84">
        <v>0</v>
      </c>
      <c r="BT37" s="39">
        <v>0</v>
      </c>
      <c r="BU37" s="39">
        <v>0</v>
      </c>
      <c r="BV37" s="39">
        <v>43</v>
      </c>
      <c r="BW37" s="40">
        <v>43</v>
      </c>
    </row>
    <row r="38" spans="1:75" outlineLevel="1" x14ac:dyDescent="0.25">
      <c r="A38" s="4" t="s">
        <v>59</v>
      </c>
      <c r="B38" s="302" t="s">
        <v>59</v>
      </c>
      <c r="C38" s="274"/>
      <c r="D38" s="274"/>
      <c r="E38" s="742">
        <v>5</v>
      </c>
      <c r="F38" s="274"/>
      <c r="G38" s="624">
        <v>105</v>
      </c>
      <c r="H38" s="542">
        <f>I38-G38</f>
        <v>17</v>
      </c>
      <c r="I38" s="586">
        <v>122</v>
      </c>
      <c r="J38" s="542">
        <f>K38-I38</f>
        <v>5</v>
      </c>
      <c r="K38" s="586">
        <v>127</v>
      </c>
      <c r="L38" s="542">
        <f>M38-K38</f>
        <v>5</v>
      </c>
      <c r="M38" s="595">
        <v>132</v>
      </c>
      <c r="N38" s="274"/>
      <c r="O38" s="569">
        <v>194</v>
      </c>
      <c r="P38" s="424">
        <v>176</v>
      </c>
      <c r="Q38" s="424">
        <v>370</v>
      </c>
      <c r="R38" s="424">
        <v>186</v>
      </c>
      <c r="S38" s="424">
        <v>556</v>
      </c>
      <c r="T38" s="424">
        <f>U38-S38</f>
        <v>-153</v>
      </c>
      <c r="U38" s="424">
        <v>403</v>
      </c>
      <c r="V38" s="483"/>
      <c r="W38" s="569">
        <v>230</v>
      </c>
      <c r="X38" s="424">
        <f t="shared" si="1"/>
        <v>228</v>
      </c>
      <c r="Y38" s="424">
        <v>458</v>
      </c>
      <c r="Z38" s="408">
        <f t="shared" ref="Z38:AB38" si="35">AA38-Y38</f>
        <v>228</v>
      </c>
      <c r="AA38" s="424">
        <v>686</v>
      </c>
      <c r="AB38" s="408">
        <f t="shared" si="35"/>
        <v>228</v>
      </c>
      <c r="AC38" s="86">
        <v>914</v>
      </c>
      <c r="AD38" s="483"/>
      <c r="AE38" s="85">
        <v>251</v>
      </c>
      <c r="AF38" s="424">
        <f t="shared" si="0"/>
        <v>251</v>
      </c>
      <c r="AG38" s="424">
        <v>502</v>
      </c>
      <c r="AH38" s="424">
        <f t="shared" si="3"/>
        <v>240</v>
      </c>
      <c r="AI38" s="424">
        <v>742</v>
      </c>
      <c r="AJ38" s="424">
        <f t="shared" si="4"/>
        <v>229</v>
      </c>
      <c r="AK38" s="86">
        <v>971</v>
      </c>
      <c r="AL38" s="274"/>
      <c r="AM38" s="85">
        <v>262</v>
      </c>
      <c r="AN38" s="424">
        <v>262</v>
      </c>
      <c r="AO38" s="424">
        <v>524</v>
      </c>
      <c r="AP38" s="424">
        <v>253</v>
      </c>
      <c r="AQ38" s="424">
        <v>777</v>
      </c>
      <c r="AR38" s="424">
        <f t="shared" si="5"/>
        <v>243</v>
      </c>
      <c r="AS38" s="86">
        <v>1020</v>
      </c>
      <c r="AT38" s="274"/>
      <c r="AU38" s="85">
        <v>650</v>
      </c>
      <c r="AV38" s="424">
        <v>395</v>
      </c>
      <c r="AW38" s="424">
        <v>1045</v>
      </c>
      <c r="AX38" s="424">
        <v>242</v>
      </c>
      <c r="AY38" s="424">
        <v>1287</v>
      </c>
      <c r="AZ38" s="424">
        <v>262</v>
      </c>
      <c r="BA38" s="86">
        <v>1549</v>
      </c>
      <c r="BB38" s="274"/>
      <c r="BC38" s="85">
        <v>270</v>
      </c>
      <c r="BD38" s="424">
        <v>395</v>
      </c>
      <c r="BE38" s="424">
        <v>665</v>
      </c>
      <c r="BF38" s="424">
        <v>-579</v>
      </c>
      <c r="BG38" s="424">
        <v>86</v>
      </c>
      <c r="BH38" s="424">
        <v>236</v>
      </c>
      <c r="BI38" s="86">
        <v>322</v>
      </c>
      <c r="BJ38" s="274"/>
      <c r="BK38" s="85">
        <v>381</v>
      </c>
      <c r="BL38" s="38">
        <v>383</v>
      </c>
      <c r="BM38" s="38">
        <v>764</v>
      </c>
      <c r="BN38" s="38">
        <v>310</v>
      </c>
      <c r="BO38" s="38">
        <v>1074</v>
      </c>
      <c r="BP38" s="38">
        <v>-65</v>
      </c>
      <c r="BQ38" s="86">
        <v>1009</v>
      </c>
      <c r="BR38" s="38"/>
      <c r="BS38" s="85">
        <v>0</v>
      </c>
      <c r="BT38" s="38">
        <v>0</v>
      </c>
      <c r="BU38" s="38">
        <v>0</v>
      </c>
      <c r="BV38" s="38">
        <v>508</v>
      </c>
      <c r="BW38" s="86">
        <v>508</v>
      </c>
    </row>
    <row r="39" spans="1:75" outlineLevel="1" x14ac:dyDescent="0.25">
      <c r="A39" s="4" t="s">
        <v>71</v>
      </c>
      <c r="B39" s="302" t="s">
        <v>60</v>
      </c>
      <c r="C39" s="274"/>
      <c r="D39" s="274"/>
      <c r="E39" s="742">
        <v>0</v>
      </c>
      <c r="F39" s="274"/>
      <c r="G39" s="624">
        <v>0</v>
      </c>
      <c r="H39" s="586">
        <v>0</v>
      </c>
      <c r="I39" s="586">
        <v>0</v>
      </c>
      <c r="J39" s="586">
        <v>0</v>
      </c>
      <c r="K39" s="586">
        <v>0</v>
      </c>
      <c r="L39" s="586">
        <v>0</v>
      </c>
      <c r="M39" s="595">
        <v>0</v>
      </c>
      <c r="N39" s="274"/>
      <c r="O39" s="569">
        <v>8182</v>
      </c>
      <c r="P39" s="424">
        <v>0</v>
      </c>
      <c r="Q39" s="424">
        <v>8182</v>
      </c>
      <c r="R39" s="424">
        <v>0</v>
      </c>
      <c r="S39" s="424">
        <v>8182</v>
      </c>
      <c r="T39" s="424">
        <v>0</v>
      </c>
      <c r="U39" s="424">
        <v>8182</v>
      </c>
      <c r="V39" s="483"/>
      <c r="W39" s="569">
        <v>0</v>
      </c>
      <c r="X39" s="424">
        <f t="shared" si="1"/>
        <v>0</v>
      </c>
      <c r="Y39" s="424">
        <v>0</v>
      </c>
      <c r="Z39" s="408">
        <f t="shared" ref="Z39:AB40" si="36">AA39-Y39</f>
        <v>32568</v>
      </c>
      <c r="AA39" s="424">
        <v>32568</v>
      </c>
      <c r="AB39" s="408">
        <f t="shared" si="36"/>
        <v>-977.76199999999881</v>
      </c>
      <c r="AC39" s="86">
        <v>31590.238000000001</v>
      </c>
      <c r="AD39" s="483"/>
      <c r="AE39" s="85">
        <v>0</v>
      </c>
      <c r="AF39" s="424">
        <f t="shared" si="0"/>
        <v>0</v>
      </c>
      <c r="AG39" s="424">
        <v>0</v>
      </c>
      <c r="AH39" s="424">
        <f t="shared" si="3"/>
        <v>0</v>
      </c>
      <c r="AI39" s="424">
        <v>0</v>
      </c>
      <c r="AJ39" s="424">
        <f t="shared" si="4"/>
        <v>0</v>
      </c>
      <c r="AK39" s="86">
        <v>0</v>
      </c>
      <c r="AL39" s="274"/>
      <c r="AM39" s="85">
        <v>0</v>
      </c>
      <c r="AN39" s="424">
        <v>0</v>
      </c>
      <c r="AO39" s="424">
        <v>0</v>
      </c>
      <c r="AP39" s="424">
        <v>0</v>
      </c>
      <c r="AQ39" s="424">
        <v>0</v>
      </c>
      <c r="AR39" s="424">
        <f t="shared" si="5"/>
        <v>0</v>
      </c>
      <c r="AS39" s="86">
        <v>0</v>
      </c>
      <c r="AT39" s="274"/>
      <c r="AU39" s="85">
        <v>0</v>
      </c>
      <c r="AV39" s="424">
        <v>0</v>
      </c>
      <c r="AW39" s="424">
        <v>0</v>
      </c>
      <c r="AX39" s="424">
        <v>0</v>
      </c>
      <c r="AY39" s="424">
        <v>0</v>
      </c>
      <c r="AZ39" s="424">
        <v>0</v>
      </c>
      <c r="BA39" s="86">
        <v>0</v>
      </c>
      <c r="BB39" s="274"/>
      <c r="BC39" s="85">
        <v>0</v>
      </c>
      <c r="BD39" s="424">
        <v>0</v>
      </c>
      <c r="BE39" s="424">
        <v>0</v>
      </c>
      <c r="BF39" s="424">
        <v>33381</v>
      </c>
      <c r="BG39" s="424">
        <v>33381</v>
      </c>
      <c r="BH39" s="424">
        <v>-500</v>
      </c>
      <c r="BI39" s="86">
        <v>32881</v>
      </c>
      <c r="BJ39" s="274"/>
      <c r="BK39" s="85">
        <v>0</v>
      </c>
      <c r="BL39" s="38">
        <v>0</v>
      </c>
      <c r="BM39" s="38">
        <v>0</v>
      </c>
      <c r="BN39" s="38">
        <v>0</v>
      </c>
      <c r="BO39" s="38"/>
      <c r="BP39" s="38">
        <v>0</v>
      </c>
      <c r="BQ39" s="86">
        <v>0</v>
      </c>
      <c r="BR39" s="38"/>
      <c r="BS39" s="85">
        <v>0</v>
      </c>
      <c r="BT39" s="38">
        <v>0</v>
      </c>
      <c r="BU39" s="38">
        <v>0</v>
      </c>
      <c r="BV39" s="38">
        <v>0</v>
      </c>
      <c r="BW39" s="86">
        <v>0</v>
      </c>
    </row>
    <row r="40" spans="1:75" outlineLevel="1" x14ac:dyDescent="0.25">
      <c r="A40" s="4" t="s">
        <v>98</v>
      </c>
      <c r="B40" s="302" t="s">
        <v>198</v>
      </c>
      <c r="C40" s="274"/>
      <c r="D40" s="274"/>
      <c r="E40" s="742">
        <v>0</v>
      </c>
      <c r="F40" s="274"/>
      <c r="G40" s="624">
        <v>0</v>
      </c>
      <c r="H40" s="586">
        <v>0</v>
      </c>
      <c r="I40" s="586">
        <v>0</v>
      </c>
      <c r="J40" s="586">
        <v>0</v>
      </c>
      <c r="K40" s="586">
        <v>0</v>
      </c>
      <c r="L40" s="586">
        <v>0</v>
      </c>
      <c r="M40" s="595">
        <v>0</v>
      </c>
      <c r="N40" s="274"/>
      <c r="O40" s="569">
        <v>0</v>
      </c>
      <c r="P40" s="424">
        <v>0</v>
      </c>
      <c r="Q40" s="424">
        <v>0</v>
      </c>
      <c r="R40" s="424">
        <v>0</v>
      </c>
      <c r="S40" s="424">
        <v>0</v>
      </c>
      <c r="T40" s="424">
        <v>0</v>
      </c>
      <c r="U40" s="424">
        <v>0</v>
      </c>
      <c r="V40" s="483"/>
      <c r="W40" s="569">
        <v>0</v>
      </c>
      <c r="X40" s="424">
        <f t="shared" si="1"/>
        <v>0</v>
      </c>
      <c r="Y40" s="424">
        <v>0</v>
      </c>
      <c r="Z40" s="408">
        <f t="shared" si="36"/>
        <v>0</v>
      </c>
      <c r="AA40" s="424">
        <v>0</v>
      </c>
      <c r="AB40" s="408">
        <f t="shared" si="36"/>
        <v>0</v>
      </c>
      <c r="AC40" s="86">
        <v>0</v>
      </c>
      <c r="AD40" s="483"/>
      <c r="AE40" s="85">
        <v>0</v>
      </c>
      <c r="AF40" s="424">
        <f t="shared" si="0"/>
        <v>0</v>
      </c>
      <c r="AG40" s="424">
        <v>0</v>
      </c>
      <c r="AH40" s="424">
        <f t="shared" si="3"/>
        <v>223</v>
      </c>
      <c r="AI40" s="424">
        <v>223</v>
      </c>
      <c r="AJ40" s="424">
        <f t="shared" si="4"/>
        <v>0</v>
      </c>
      <c r="AK40" s="86">
        <v>223</v>
      </c>
      <c r="AL40" s="274"/>
      <c r="AM40" s="85">
        <v>0</v>
      </c>
      <c r="AN40" s="424">
        <v>0</v>
      </c>
      <c r="AO40" s="424">
        <v>0</v>
      </c>
      <c r="AP40" s="424">
        <v>0</v>
      </c>
      <c r="AQ40" s="424">
        <v>0</v>
      </c>
      <c r="AR40" s="424">
        <f t="shared" si="5"/>
        <v>0</v>
      </c>
      <c r="AS40" s="86">
        <v>0</v>
      </c>
      <c r="AT40" s="274"/>
      <c r="AU40" s="85">
        <v>0</v>
      </c>
      <c r="AV40" s="424">
        <v>0</v>
      </c>
      <c r="AW40" s="424">
        <v>0</v>
      </c>
      <c r="AX40" s="424">
        <v>0</v>
      </c>
      <c r="AY40" s="424">
        <v>0</v>
      </c>
      <c r="AZ40" s="424">
        <v>0</v>
      </c>
      <c r="BA40" s="86">
        <v>0</v>
      </c>
      <c r="BB40" s="274"/>
      <c r="BC40" s="85">
        <v>0</v>
      </c>
      <c r="BD40" s="424">
        <v>0</v>
      </c>
      <c r="BE40" s="424">
        <v>0</v>
      </c>
      <c r="BF40" s="424">
        <v>0</v>
      </c>
      <c r="BG40" s="424">
        <v>0</v>
      </c>
      <c r="BH40" s="424">
        <v>0</v>
      </c>
      <c r="BI40" s="86">
        <v>0</v>
      </c>
      <c r="BJ40" s="274"/>
      <c r="BK40" s="85">
        <v>0</v>
      </c>
      <c r="BL40" s="38">
        <v>0</v>
      </c>
      <c r="BM40" s="38">
        <v>0</v>
      </c>
      <c r="BN40" s="38">
        <v>1362</v>
      </c>
      <c r="BO40" s="38">
        <v>1362</v>
      </c>
      <c r="BP40" s="38">
        <v>0</v>
      </c>
      <c r="BQ40" s="86">
        <v>1362</v>
      </c>
      <c r="BR40" s="38"/>
      <c r="BS40" s="85">
        <v>1473</v>
      </c>
      <c r="BT40" s="38">
        <v>363</v>
      </c>
      <c r="BU40" s="38">
        <v>1836</v>
      </c>
      <c r="BV40" s="38">
        <v>0</v>
      </c>
      <c r="BW40" s="86">
        <v>1836</v>
      </c>
    </row>
    <row r="41" spans="1:75" outlineLevel="1" x14ac:dyDescent="0.25">
      <c r="A41" s="4"/>
      <c r="B41" s="302" t="s">
        <v>63</v>
      </c>
      <c r="C41" s="274"/>
      <c r="D41" s="274"/>
      <c r="E41" s="742">
        <v>0</v>
      </c>
      <c r="F41" s="274"/>
      <c r="G41" s="624">
        <v>0</v>
      </c>
      <c r="H41" s="586">
        <v>0</v>
      </c>
      <c r="I41" s="586">
        <v>0</v>
      </c>
      <c r="J41" s="586">
        <v>0</v>
      </c>
      <c r="K41" s="586">
        <v>0</v>
      </c>
      <c r="L41" s="586">
        <v>0</v>
      </c>
      <c r="M41" s="595">
        <v>0</v>
      </c>
      <c r="N41" s="274"/>
      <c r="O41" s="569">
        <v>0</v>
      </c>
      <c r="P41" s="424">
        <v>0</v>
      </c>
      <c r="Q41" s="424">
        <v>0</v>
      </c>
      <c r="R41" s="424">
        <v>0</v>
      </c>
      <c r="S41" s="424">
        <v>0</v>
      </c>
      <c r="T41" s="424">
        <v>0</v>
      </c>
      <c r="U41" s="424">
        <v>0</v>
      </c>
      <c r="V41" s="483"/>
      <c r="W41" s="569">
        <v>0</v>
      </c>
      <c r="X41" s="424">
        <f t="shared" si="1"/>
        <v>0</v>
      </c>
      <c r="Y41" s="424">
        <v>0</v>
      </c>
      <c r="Z41" s="408">
        <v>0</v>
      </c>
      <c r="AA41" s="424">
        <v>0</v>
      </c>
      <c r="AB41" s="408">
        <v>0</v>
      </c>
      <c r="AC41" s="86">
        <v>0</v>
      </c>
      <c r="AD41" s="483"/>
      <c r="AE41" s="85">
        <v>0</v>
      </c>
      <c r="AF41" s="424">
        <f t="shared" si="0"/>
        <v>0</v>
      </c>
      <c r="AG41" s="424">
        <v>0</v>
      </c>
      <c r="AH41" s="424">
        <f t="shared" si="3"/>
        <v>0</v>
      </c>
      <c r="AI41" s="424">
        <v>0</v>
      </c>
      <c r="AJ41" s="424">
        <f t="shared" si="4"/>
        <v>0</v>
      </c>
      <c r="AK41" s="86">
        <v>0</v>
      </c>
      <c r="AL41" s="274"/>
      <c r="AM41" s="85">
        <v>0</v>
      </c>
      <c r="AN41" s="424">
        <v>0</v>
      </c>
      <c r="AO41" s="424">
        <v>0</v>
      </c>
      <c r="AP41" s="424">
        <v>0</v>
      </c>
      <c r="AQ41" s="424">
        <v>0</v>
      </c>
      <c r="AR41" s="424">
        <f t="shared" si="5"/>
        <v>0</v>
      </c>
      <c r="AS41" s="86">
        <v>0</v>
      </c>
      <c r="AT41" s="274"/>
      <c r="AU41" s="85">
        <v>0</v>
      </c>
      <c r="AV41" s="424">
        <v>0</v>
      </c>
      <c r="AW41" s="424">
        <v>0</v>
      </c>
      <c r="AX41" s="424">
        <v>0</v>
      </c>
      <c r="AY41" s="424">
        <v>0</v>
      </c>
      <c r="AZ41" s="424">
        <v>0</v>
      </c>
      <c r="BA41" s="86">
        <v>0</v>
      </c>
      <c r="BB41" s="274"/>
      <c r="BC41" s="85">
        <v>0</v>
      </c>
      <c r="BD41" s="424">
        <v>0</v>
      </c>
      <c r="BE41" s="424">
        <v>0</v>
      </c>
      <c r="BF41" s="424">
        <v>0</v>
      </c>
      <c r="BG41" s="424">
        <v>0</v>
      </c>
      <c r="BH41" s="424">
        <v>0</v>
      </c>
      <c r="BI41" s="86">
        <v>0</v>
      </c>
      <c r="BJ41" s="274"/>
      <c r="BK41" s="85">
        <v>0</v>
      </c>
      <c r="BL41" s="38">
        <v>0</v>
      </c>
      <c r="BM41" s="38">
        <v>0</v>
      </c>
      <c r="BN41" s="38">
        <v>0</v>
      </c>
      <c r="BO41" s="38"/>
      <c r="BP41" s="38">
        <v>0</v>
      </c>
      <c r="BQ41" s="86">
        <v>0</v>
      </c>
      <c r="BR41" s="38"/>
      <c r="BS41" s="85">
        <v>0</v>
      </c>
      <c r="BT41" s="38">
        <v>0</v>
      </c>
      <c r="BU41" s="38">
        <v>0</v>
      </c>
      <c r="BV41" s="38">
        <v>0</v>
      </c>
      <c r="BW41" s="86">
        <v>0</v>
      </c>
    </row>
    <row r="42" spans="1:75" outlineLevel="1" x14ac:dyDescent="0.25">
      <c r="A42" s="4" t="s">
        <v>157</v>
      </c>
      <c r="B42" s="302" t="s">
        <v>86</v>
      </c>
      <c r="C42" s="274"/>
      <c r="D42" s="274"/>
      <c r="E42" s="742">
        <v>0</v>
      </c>
      <c r="F42" s="274"/>
      <c r="G42" s="624">
        <v>0</v>
      </c>
      <c r="H42" s="586">
        <v>0</v>
      </c>
      <c r="I42" s="586">
        <v>0</v>
      </c>
      <c r="J42" s="586">
        <v>0</v>
      </c>
      <c r="K42" s="586">
        <v>0</v>
      </c>
      <c r="L42" s="586">
        <v>0</v>
      </c>
      <c r="M42" s="595">
        <v>0</v>
      </c>
      <c r="N42" s="274"/>
      <c r="O42" s="569">
        <v>0</v>
      </c>
      <c r="P42" s="424">
        <v>0</v>
      </c>
      <c r="Q42" s="424">
        <v>0</v>
      </c>
      <c r="R42" s="424">
        <v>0</v>
      </c>
      <c r="S42" s="424">
        <v>0</v>
      </c>
      <c r="T42" s="424">
        <v>0</v>
      </c>
      <c r="U42" s="424">
        <v>0</v>
      </c>
      <c r="V42" s="483"/>
      <c r="W42" s="569">
        <v>0</v>
      </c>
      <c r="X42" s="424">
        <f t="shared" si="1"/>
        <v>0</v>
      </c>
      <c r="Y42" s="424">
        <v>0</v>
      </c>
      <c r="Z42" s="408">
        <f t="shared" ref="Z42:AB44" si="37">AA42-Y42</f>
        <v>0</v>
      </c>
      <c r="AA42" s="424">
        <v>0</v>
      </c>
      <c r="AB42" s="408">
        <f t="shared" si="37"/>
        <v>0</v>
      </c>
      <c r="AC42" s="86">
        <v>0</v>
      </c>
      <c r="AD42" s="483"/>
      <c r="AE42" s="85">
        <v>0</v>
      </c>
      <c r="AF42" s="424">
        <f t="shared" si="0"/>
        <v>0</v>
      </c>
      <c r="AG42" s="424">
        <v>0</v>
      </c>
      <c r="AH42" s="424">
        <f t="shared" si="3"/>
        <v>0</v>
      </c>
      <c r="AI42" s="424">
        <v>0</v>
      </c>
      <c r="AJ42" s="424">
        <f t="shared" si="4"/>
        <v>0</v>
      </c>
      <c r="AK42" s="86">
        <v>0</v>
      </c>
      <c r="AL42" s="274"/>
      <c r="AM42" s="85">
        <v>0</v>
      </c>
      <c r="AN42" s="424">
        <v>0</v>
      </c>
      <c r="AO42" s="424">
        <v>0</v>
      </c>
      <c r="AP42" s="424">
        <v>0</v>
      </c>
      <c r="AQ42" s="424">
        <v>0</v>
      </c>
      <c r="AR42" s="424">
        <f t="shared" si="5"/>
        <v>0</v>
      </c>
      <c r="AS42" s="86">
        <v>0</v>
      </c>
      <c r="AT42" s="274"/>
      <c r="AU42" s="85">
        <v>0</v>
      </c>
      <c r="AV42" s="424">
        <v>0</v>
      </c>
      <c r="AW42" s="424">
        <v>0</v>
      </c>
      <c r="AX42" s="424">
        <v>0</v>
      </c>
      <c r="AY42" s="424">
        <v>0</v>
      </c>
      <c r="AZ42" s="424">
        <v>0</v>
      </c>
      <c r="BA42" s="86">
        <v>0</v>
      </c>
      <c r="BB42" s="274"/>
      <c r="BC42" s="85">
        <v>0</v>
      </c>
      <c r="BD42" s="424">
        <v>0</v>
      </c>
      <c r="BE42" s="424">
        <v>0</v>
      </c>
      <c r="BF42" s="424">
        <v>0</v>
      </c>
      <c r="BG42" s="424">
        <v>0</v>
      </c>
      <c r="BH42" s="424">
        <v>0</v>
      </c>
      <c r="BI42" s="86">
        <v>0</v>
      </c>
      <c r="BJ42" s="274"/>
      <c r="BK42" s="85">
        <v>375</v>
      </c>
      <c r="BL42" s="38">
        <v>375</v>
      </c>
      <c r="BM42" s="38">
        <v>750</v>
      </c>
      <c r="BN42" s="38">
        <v>0</v>
      </c>
      <c r="BO42" s="38">
        <v>750</v>
      </c>
      <c r="BP42" s="38">
        <v>0</v>
      </c>
      <c r="BQ42" s="86">
        <v>750</v>
      </c>
      <c r="BR42" s="38"/>
      <c r="BS42" s="85">
        <v>0</v>
      </c>
      <c r="BT42" s="38">
        <v>375</v>
      </c>
      <c r="BU42" s="38">
        <v>375</v>
      </c>
      <c r="BV42" s="38">
        <v>375</v>
      </c>
      <c r="BW42" s="86">
        <v>750</v>
      </c>
    </row>
    <row r="43" spans="1:75" ht="17.25" outlineLevel="1" x14ac:dyDescent="0.4">
      <c r="A43" s="4" t="s">
        <v>163</v>
      </c>
      <c r="B43" s="302" t="s">
        <v>34</v>
      </c>
      <c r="C43" s="274"/>
      <c r="D43" s="274"/>
      <c r="E43" s="750">
        <v>20</v>
      </c>
      <c r="F43" s="274"/>
      <c r="G43" s="682">
        <v>-126.86499999999999</v>
      </c>
      <c r="H43" s="687">
        <v>-83.444000000000003</v>
      </c>
      <c r="I43" s="687">
        <v>-210.309</v>
      </c>
      <c r="J43" s="687">
        <v>-267.83999999999997</v>
      </c>
      <c r="K43" s="687">
        <v>-478.149</v>
      </c>
      <c r="L43" s="687">
        <f>-1266.807+1280</f>
        <v>13.192999999999984</v>
      </c>
      <c r="M43" s="688">
        <f>-1744.956+1280</f>
        <v>-464.9559999999999</v>
      </c>
      <c r="N43" s="274"/>
      <c r="O43" s="571">
        <v>-297</v>
      </c>
      <c r="P43" s="428">
        <v>26195</v>
      </c>
      <c r="Q43" s="428">
        <v>25898</v>
      </c>
      <c r="R43" s="428">
        <v>-164</v>
      </c>
      <c r="S43" s="428">
        <v>25734</v>
      </c>
      <c r="T43" s="428">
        <f>U43-S43</f>
        <v>323</v>
      </c>
      <c r="U43" s="428">
        <v>26057</v>
      </c>
      <c r="V43" s="483"/>
      <c r="W43" s="571">
        <v>-675</v>
      </c>
      <c r="X43" s="428">
        <f t="shared" si="1"/>
        <v>-79</v>
      </c>
      <c r="Y43" s="428">
        <v>-754</v>
      </c>
      <c r="Z43" s="410">
        <f t="shared" si="37"/>
        <v>-425</v>
      </c>
      <c r="AA43" s="428">
        <v>-1179</v>
      </c>
      <c r="AB43" s="410">
        <f t="shared" si="37"/>
        <v>-30.807000000000016</v>
      </c>
      <c r="AC43" s="273">
        <v>-1209.807</v>
      </c>
      <c r="AD43" s="483"/>
      <c r="AE43" s="272">
        <v>209</v>
      </c>
      <c r="AF43" s="428">
        <f>AG43-AE43</f>
        <v>-26</v>
      </c>
      <c r="AG43" s="428">
        <v>183</v>
      </c>
      <c r="AH43" s="428">
        <f t="shared" si="3"/>
        <v>970</v>
      </c>
      <c r="AI43" s="428">
        <v>1153</v>
      </c>
      <c r="AJ43" s="428">
        <f t="shared" si="4"/>
        <v>1263</v>
      </c>
      <c r="AK43" s="273">
        <v>2416</v>
      </c>
      <c r="AL43" s="274"/>
      <c r="AM43" s="272">
        <v>86</v>
      </c>
      <c r="AN43" s="428">
        <v>227</v>
      </c>
      <c r="AO43" s="428">
        <v>313</v>
      </c>
      <c r="AP43" s="428">
        <v>-2</v>
      </c>
      <c r="AQ43" s="428">
        <v>311</v>
      </c>
      <c r="AR43" s="428">
        <f t="shared" si="5"/>
        <v>-38</v>
      </c>
      <c r="AS43" s="273">
        <v>273</v>
      </c>
      <c r="AT43" s="274"/>
      <c r="AU43" s="272">
        <v>-18</v>
      </c>
      <c r="AV43" s="428">
        <v>1085</v>
      </c>
      <c r="AW43" s="428">
        <v>1067</v>
      </c>
      <c r="AX43" s="428">
        <v>-19</v>
      </c>
      <c r="AY43" s="428">
        <v>1048</v>
      </c>
      <c r="AZ43" s="428">
        <v>-117</v>
      </c>
      <c r="BA43" s="273">
        <v>931</v>
      </c>
      <c r="BB43" s="274"/>
      <c r="BC43" s="272">
        <v>11</v>
      </c>
      <c r="BD43" s="428">
        <v>707</v>
      </c>
      <c r="BE43" s="428">
        <v>718</v>
      </c>
      <c r="BF43" s="428">
        <v>250</v>
      </c>
      <c r="BG43" s="428">
        <v>968</v>
      </c>
      <c r="BH43" s="428">
        <v>2006</v>
      </c>
      <c r="BI43" s="273">
        <v>2974</v>
      </c>
      <c r="BJ43" s="274"/>
      <c r="BK43" s="324">
        <v>0</v>
      </c>
      <c r="BL43" s="325">
        <v>0</v>
      </c>
      <c r="BM43" s="325">
        <v>0</v>
      </c>
      <c r="BN43" s="325">
        <v>0</v>
      </c>
      <c r="BO43" s="325">
        <v>0</v>
      </c>
      <c r="BP43" s="325">
        <v>0</v>
      </c>
      <c r="BQ43" s="326">
        <v>0</v>
      </c>
      <c r="BR43" s="325"/>
      <c r="BS43" s="324">
        <v>0</v>
      </c>
      <c r="BT43" s="325">
        <v>0</v>
      </c>
      <c r="BU43" s="325">
        <v>0</v>
      </c>
      <c r="BV43" s="325">
        <v>0</v>
      </c>
      <c r="BW43" s="326">
        <v>0</v>
      </c>
    </row>
    <row r="44" spans="1:75" x14ac:dyDescent="0.25">
      <c r="A44" s="4" t="s">
        <v>65</v>
      </c>
      <c r="B44" s="308" t="s">
        <v>65</v>
      </c>
      <c r="C44" s="274"/>
      <c r="D44" s="274"/>
      <c r="E44" s="706">
        <f>SUM(E36:E43)</f>
        <v>372.43800000000033</v>
      </c>
      <c r="F44" s="274"/>
      <c r="G44" s="567">
        <f>SUM(G36:G43)</f>
        <v>-1356.5470000000003</v>
      </c>
      <c r="H44" s="608">
        <f t="shared" ref="H44:M44" si="38">SUM(H36:H43)</f>
        <v>470.38400000000041</v>
      </c>
      <c r="I44" s="608">
        <f t="shared" si="38"/>
        <v>-886.16299999999887</v>
      </c>
      <c r="J44" s="608">
        <f t="shared" si="38"/>
        <v>4264.6789999999992</v>
      </c>
      <c r="K44" s="608">
        <f t="shared" si="38"/>
        <v>3378.5160000000092</v>
      </c>
      <c r="L44" s="608">
        <f t="shared" si="38"/>
        <v>2138.0250000000015</v>
      </c>
      <c r="M44" s="622">
        <f t="shared" si="38"/>
        <v>5516.5410000000074</v>
      </c>
      <c r="N44" s="274"/>
      <c r="O44" s="567">
        <f>SUM(O36:O43)</f>
        <v>-777</v>
      </c>
      <c r="P44" s="608">
        <f t="shared" ref="P44:Q44" si="39">SUM(P36:P43)</f>
        <v>243</v>
      </c>
      <c r="Q44" s="608">
        <f t="shared" si="39"/>
        <v>-534</v>
      </c>
      <c r="R44" s="608">
        <f t="shared" ref="R44:S44" si="40">SUM(R36:R43)</f>
        <v>3064</v>
      </c>
      <c r="S44" s="608">
        <f t="shared" si="40"/>
        <v>2530</v>
      </c>
      <c r="T44" s="608">
        <f t="shared" ref="T44:U44" si="41">SUM(T36:T43)</f>
        <v>1420</v>
      </c>
      <c r="U44" s="608">
        <f t="shared" si="41"/>
        <v>3950</v>
      </c>
      <c r="V44" s="483"/>
      <c r="W44" s="567">
        <v>238</v>
      </c>
      <c r="X44" s="423">
        <f t="shared" si="1"/>
        <v>1913</v>
      </c>
      <c r="Y44" s="423">
        <v>2151</v>
      </c>
      <c r="Z44" s="406">
        <f t="shared" si="37"/>
        <v>7482</v>
      </c>
      <c r="AA44" s="423">
        <v>9633</v>
      </c>
      <c r="AB44" s="406">
        <f t="shared" si="37"/>
        <v>3145.0099999999984</v>
      </c>
      <c r="AC44" s="40">
        <v>12778.009999999998</v>
      </c>
      <c r="AD44" s="483"/>
      <c r="AE44" s="84">
        <f>6639-125</f>
        <v>6514</v>
      </c>
      <c r="AF44" s="423">
        <f>AG44-AE44</f>
        <v>8897</v>
      </c>
      <c r="AG44" s="423">
        <v>15411</v>
      </c>
      <c r="AH44" s="423">
        <f t="shared" si="3"/>
        <v>14015</v>
      </c>
      <c r="AI44" s="423">
        <v>29426</v>
      </c>
      <c r="AJ44" s="423">
        <f t="shared" si="4"/>
        <v>3758</v>
      </c>
      <c r="AK44" s="40">
        <v>33184</v>
      </c>
      <c r="AL44" s="274"/>
      <c r="AM44" s="84">
        <v>12069</v>
      </c>
      <c r="AN44" s="423">
        <v>12506</v>
      </c>
      <c r="AO44" s="423">
        <v>24575</v>
      </c>
      <c r="AP44" s="423">
        <v>16251</v>
      </c>
      <c r="AQ44" s="423">
        <v>40826</v>
      </c>
      <c r="AR44" s="423">
        <v>10069</v>
      </c>
      <c r="AS44" s="40">
        <v>50895</v>
      </c>
      <c r="AT44" s="274"/>
      <c r="AU44" s="84">
        <v>2734</v>
      </c>
      <c r="AV44" s="423">
        <v>7506</v>
      </c>
      <c r="AW44" s="423">
        <v>10240</v>
      </c>
      <c r="AX44" s="423">
        <v>14424</v>
      </c>
      <c r="AY44" s="423">
        <v>24664</v>
      </c>
      <c r="AZ44" s="423">
        <v>14364</v>
      </c>
      <c r="BA44" s="40">
        <v>39028</v>
      </c>
      <c r="BB44" s="274"/>
      <c r="BC44" s="84">
        <v>3862</v>
      </c>
      <c r="BD44" s="423">
        <v>3609</v>
      </c>
      <c r="BE44" s="423">
        <v>7471</v>
      </c>
      <c r="BF44" s="423">
        <v>8118</v>
      </c>
      <c r="BG44" s="423">
        <v>15589</v>
      </c>
      <c r="BH44" s="423">
        <v>5482</v>
      </c>
      <c r="BI44" s="40">
        <v>21071</v>
      </c>
      <c r="BJ44" s="274"/>
      <c r="BK44" s="84">
        <v>3022</v>
      </c>
      <c r="BL44" s="39">
        <v>5794</v>
      </c>
      <c r="BM44" s="39">
        <v>8816</v>
      </c>
      <c r="BN44" s="39">
        <v>5588</v>
      </c>
      <c r="BO44" s="39">
        <v>14404</v>
      </c>
      <c r="BP44" s="39">
        <v>5639</v>
      </c>
      <c r="BQ44" s="40">
        <v>20043</v>
      </c>
      <c r="BR44" s="39"/>
      <c r="BS44" s="84">
        <v>1513</v>
      </c>
      <c r="BT44" s="39">
        <v>4877</v>
      </c>
      <c r="BU44" s="39">
        <v>6390</v>
      </c>
      <c r="BV44" s="39">
        <v>5742</v>
      </c>
      <c r="BW44" s="40">
        <v>12132</v>
      </c>
    </row>
    <row r="45" spans="1:75" x14ac:dyDescent="0.25">
      <c r="A45" s="4"/>
      <c r="B45" s="308"/>
      <c r="C45" s="274"/>
      <c r="D45" s="274"/>
      <c r="E45" s="730"/>
      <c r="F45" s="274"/>
      <c r="G45" s="572"/>
      <c r="H45" s="423"/>
      <c r="I45" s="423"/>
      <c r="J45" s="423"/>
      <c r="K45" s="423"/>
      <c r="L45" s="406"/>
      <c r="M45" s="40"/>
      <c r="N45" s="274"/>
      <c r="O45" s="572"/>
      <c r="P45" s="423"/>
      <c r="Q45" s="423"/>
      <c r="R45" s="423"/>
      <c r="S45" s="423"/>
      <c r="T45" s="406"/>
      <c r="U45" s="40"/>
      <c r="V45" s="483"/>
      <c r="W45" s="572"/>
      <c r="X45" s="423"/>
      <c r="Y45" s="423"/>
      <c r="Z45" s="406"/>
      <c r="AA45" s="423"/>
      <c r="AB45" s="406"/>
      <c r="AC45" s="40"/>
      <c r="AD45" s="483"/>
      <c r="AE45" s="84"/>
      <c r="AF45" s="423"/>
      <c r="AG45" s="423"/>
      <c r="AH45" s="423"/>
      <c r="AI45" s="423"/>
      <c r="AJ45" s="423"/>
      <c r="AK45" s="40"/>
      <c r="AL45" s="274"/>
      <c r="AM45" s="84"/>
      <c r="AN45" s="423"/>
      <c r="AO45" s="423"/>
      <c r="AP45" s="423"/>
      <c r="AQ45" s="423"/>
      <c r="AR45" s="423"/>
      <c r="AS45" s="40"/>
      <c r="AT45" s="274"/>
      <c r="AU45" s="84"/>
      <c r="AV45" s="423"/>
      <c r="AW45" s="423"/>
      <c r="AX45" s="423"/>
      <c r="AY45" s="423"/>
      <c r="AZ45" s="423"/>
      <c r="BA45" s="40"/>
      <c r="BB45" s="274"/>
      <c r="BC45" s="84"/>
      <c r="BD45" s="423"/>
      <c r="BE45" s="423"/>
      <c r="BF45" s="423"/>
      <c r="BG45" s="423"/>
      <c r="BH45" s="423"/>
      <c r="BI45" s="40"/>
      <c r="BJ45" s="274"/>
      <c r="BK45" s="84"/>
      <c r="BL45" s="39"/>
      <c r="BM45" s="39"/>
      <c r="BN45" s="39"/>
      <c r="BO45" s="39"/>
      <c r="BP45" s="39"/>
      <c r="BQ45" s="40"/>
      <c r="BR45" s="39"/>
      <c r="BS45" s="84"/>
      <c r="BT45" s="39"/>
      <c r="BU45" s="39"/>
      <c r="BV45" s="39"/>
      <c r="BW45" s="423"/>
    </row>
    <row r="46" spans="1:75" x14ac:dyDescent="0.25">
      <c r="A46" s="4"/>
      <c r="B46" s="302"/>
      <c r="C46" s="274"/>
      <c r="D46" s="274"/>
      <c r="E46" s="730"/>
      <c r="F46" s="274"/>
      <c r="G46" s="572"/>
      <c r="H46" s="423"/>
      <c r="I46" s="423"/>
      <c r="J46" s="423"/>
      <c r="K46" s="423"/>
      <c r="L46" s="406"/>
      <c r="M46" s="40"/>
      <c r="N46" s="274"/>
      <c r="O46" s="572"/>
      <c r="P46" s="423"/>
      <c r="Q46" s="423"/>
      <c r="R46" s="423"/>
      <c r="S46" s="423"/>
      <c r="T46" s="406"/>
      <c r="U46" s="40"/>
      <c r="V46" s="483"/>
      <c r="W46" s="572"/>
      <c r="X46" s="423"/>
      <c r="Y46" s="423"/>
      <c r="Z46" s="406"/>
      <c r="AA46" s="470"/>
      <c r="AB46" s="406"/>
      <c r="AC46" s="40"/>
      <c r="AD46" s="483"/>
      <c r="AE46" s="84"/>
      <c r="AF46" s="423"/>
      <c r="AG46" s="423"/>
      <c r="AH46" s="423"/>
      <c r="AI46" s="423"/>
      <c r="AJ46" s="423"/>
      <c r="AK46" s="40">
        <v>0</v>
      </c>
      <c r="AL46" s="274"/>
      <c r="AM46" s="84"/>
      <c r="AN46" s="423"/>
      <c r="AO46" s="423"/>
      <c r="AP46" s="423"/>
      <c r="AQ46" s="423"/>
      <c r="AR46" s="423"/>
      <c r="AS46" s="40"/>
      <c r="AT46" s="274"/>
      <c r="AU46" s="84"/>
      <c r="AV46" s="423"/>
      <c r="AW46" s="423"/>
      <c r="AX46" s="423"/>
      <c r="AY46" s="423"/>
      <c r="AZ46" s="423"/>
      <c r="BA46" s="40"/>
      <c r="BB46" s="274"/>
      <c r="BC46" s="84"/>
      <c r="BD46" s="423"/>
      <c r="BE46" s="423"/>
      <c r="BF46" s="423"/>
      <c r="BG46" s="423"/>
      <c r="BH46" s="423"/>
      <c r="BI46" s="40"/>
      <c r="BJ46" s="274"/>
      <c r="BK46" s="84"/>
      <c r="BL46" s="423"/>
      <c r="BM46" s="423"/>
      <c r="BN46" s="423"/>
      <c r="BO46" s="423"/>
      <c r="BP46" s="423"/>
      <c r="BQ46" s="40"/>
      <c r="BR46" s="274"/>
      <c r="BS46" s="84"/>
      <c r="BT46" s="423"/>
      <c r="BU46" s="423"/>
      <c r="BV46" s="423"/>
      <c r="BW46" s="423"/>
    </row>
    <row r="47" spans="1:75" x14ac:dyDescent="0.25">
      <c r="A47" s="4" t="s">
        <v>221</v>
      </c>
      <c r="B47" s="308" t="s">
        <v>25</v>
      </c>
      <c r="C47" s="274"/>
      <c r="D47" s="274"/>
      <c r="E47" s="730">
        <f>97256.795-41.667</f>
        <v>97215.127999999997</v>
      </c>
      <c r="F47" s="274"/>
      <c r="G47" s="572">
        <v>99070.842999999993</v>
      </c>
      <c r="H47" s="423"/>
      <c r="I47" s="423">
        <v>113114.129</v>
      </c>
      <c r="J47" s="423"/>
      <c r="K47" s="423">
        <v>109004.57799999999</v>
      </c>
      <c r="L47" s="406"/>
      <c r="M47" s="40">
        <v>91540.543000000005</v>
      </c>
      <c r="N47" s="274"/>
      <c r="O47" s="572">
        <v>220286</v>
      </c>
      <c r="P47" s="423"/>
      <c r="Q47" s="423">
        <v>121611</v>
      </c>
      <c r="R47" s="423"/>
      <c r="S47" s="423">
        <v>118135</v>
      </c>
      <c r="T47" s="406"/>
      <c r="U47" s="423">
        <v>97517</v>
      </c>
      <c r="V47" s="483"/>
      <c r="W47" s="572">
        <v>284648</v>
      </c>
      <c r="X47" s="423"/>
      <c r="Y47" s="423">
        <v>291893</v>
      </c>
      <c r="Z47" s="406"/>
      <c r="AA47" s="423">
        <v>264027.68199999997</v>
      </c>
      <c r="AB47" s="406"/>
      <c r="AC47" s="40">
        <v>238078.61300000001</v>
      </c>
      <c r="AD47" s="483"/>
      <c r="AE47" s="84">
        <v>292200</v>
      </c>
      <c r="AF47" s="423">
        <v>304380</v>
      </c>
      <c r="AG47" s="423"/>
      <c r="AH47" s="423"/>
      <c r="AI47" s="423">
        <v>325537</v>
      </c>
      <c r="AJ47" s="423"/>
      <c r="AK47" s="40">
        <v>293477</v>
      </c>
      <c r="AL47" s="274"/>
      <c r="AM47" s="84">
        <v>265511</v>
      </c>
      <c r="AN47" s="423">
        <v>275909</v>
      </c>
      <c r="AO47" s="423"/>
      <c r="AP47" s="423">
        <v>283447</v>
      </c>
      <c r="AQ47" s="423"/>
      <c r="AR47" s="423">
        <v>282264</v>
      </c>
      <c r="AS47" s="40"/>
      <c r="AT47" s="274"/>
      <c r="AU47" s="84">
        <v>236822</v>
      </c>
      <c r="AV47" s="423">
        <v>240896</v>
      </c>
      <c r="AW47" s="274"/>
      <c r="AX47" s="423">
        <v>255031</v>
      </c>
      <c r="AY47" s="274"/>
      <c r="AZ47" s="274">
        <v>257649</v>
      </c>
      <c r="BA47" s="315"/>
      <c r="BB47" s="274"/>
      <c r="BC47" s="84">
        <v>290098</v>
      </c>
      <c r="BD47" s="423">
        <v>288743</v>
      </c>
      <c r="BE47" s="423"/>
      <c r="BF47" s="423">
        <v>260945</v>
      </c>
      <c r="BG47" s="274"/>
      <c r="BH47" s="423">
        <v>240503</v>
      </c>
      <c r="BI47" s="315"/>
      <c r="BJ47" s="274"/>
      <c r="BK47" s="84">
        <v>195877</v>
      </c>
      <c r="BL47" s="39">
        <v>203867</v>
      </c>
      <c r="BM47" s="39"/>
      <c r="BN47" s="39">
        <v>312354</v>
      </c>
      <c r="BO47" s="274"/>
      <c r="BP47" s="39">
        <v>291957</v>
      </c>
      <c r="BQ47" s="315"/>
      <c r="BR47" s="274"/>
      <c r="BS47" s="84">
        <v>199359</v>
      </c>
      <c r="BT47" s="318">
        <v>207133</v>
      </c>
      <c r="BV47" s="318">
        <v>198297</v>
      </c>
      <c r="BW47" s="315"/>
    </row>
    <row r="48" spans="1:75" x14ac:dyDescent="0.25">
      <c r="A48" s="4"/>
      <c r="B48" s="308"/>
      <c r="C48" s="274"/>
      <c r="D48" s="274"/>
      <c r="E48" s="730"/>
      <c r="F48" s="274"/>
      <c r="G48" s="572"/>
      <c r="H48" s="423"/>
      <c r="I48" s="423"/>
      <c r="J48" s="423"/>
      <c r="K48" s="423"/>
      <c r="L48" s="406"/>
      <c r="M48" s="40"/>
      <c r="N48" s="274"/>
      <c r="O48" s="572"/>
      <c r="P48" s="423"/>
      <c r="Q48" s="423"/>
      <c r="R48" s="423"/>
      <c r="S48" s="423"/>
      <c r="T48" s="406"/>
      <c r="U48" s="423"/>
      <c r="V48" s="483"/>
      <c r="W48" s="572"/>
      <c r="X48" s="423"/>
      <c r="Y48" s="423"/>
      <c r="Z48" s="406"/>
      <c r="AA48" s="423"/>
      <c r="AB48" s="406"/>
      <c r="AC48" s="40"/>
      <c r="AD48" s="483"/>
      <c r="AE48" s="84"/>
      <c r="AF48" s="423"/>
      <c r="AG48" s="423"/>
      <c r="AH48" s="423"/>
      <c r="AI48" s="423"/>
      <c r="AJ48" s="423"/>
      <c r="AK48" s="40">
        <v>0</v>
      </c>
      <c r="AL48" s="274"/>
      <c r="AM48" s="84"/>
      <c r="AN48" s="423"/>
      <c r="AO48" s="423"/>
      <c r="AP48" s="423"/>
      <c r="AQ48" s="423"/>
      <c r="AR48" s="423"/>
      <c r="AS48" s="40"/>
      <c r="AT48" s="274"/>
      <c r="AU48" s="84"/>
      <c r="AV48" s="423"/>
      <c r="AW48" s="274"/>
      <c r="AX48" s="423"/>
      <c r="AY48" s="274"/>
      <c r="AZ48" s="274"/>
      <c r="BA48" s="315"/>
      <c r="BB48" s="274"/>
      <c r="BC48" s="84"/>
      <c r="BD48" s="423"/>
      <c r="BE48" s="423"/>
      <c r="BF48" s="423"/>
      <c r="BG48" s="274"/>
      <c r="BH48" s="423"/>
      <c r="BI48" s="315"/>
      <c r="BJ48" s="274"/>
      <c r="BK48" s="84"/>
      <c r="BL48" s="39"/>
      <c r="BM48" s="39"/>
      <c r="BN48" s="39"/>
      <c r="BO48" s="274"/>
      <c r="BP48" s="39"/>
      <c r="BQ48" s="315"/>
      <c r="BR48" s="274"/>
      <c r="BS48" s="84"/>
      <c r="BT48" s="318"/>
      <c r="BV48" s="318"/>
      <c r="BW48" s="315"/>
    </row>
    <row r="49" spans="1:75" outlineLevel="1" x14ac:dyDescent="0.25">
      <c r="A49" s="4" t="s">
        <v>222</v>
      </c>
      <c r="B49" s="302" t="s">
        <v>26</v>
      </c>
      <c r="C49" s="274"/>
      <c r="D49" s="274"/>
      <c r="E49" s="745">
        <v>56198.652000000002</v>
      </c>
      <c r="F49" s="274"/>
      <c r="G49" s="573">
        <v>54051.959000000003</v>
      </c>
      <c r="H49" s="424"/>
      <c r="I49" s="424">
        <v>66260.229000000007</v>
      </c>
      <c r="J49" s="424"/>
      <c r="K49" s="424">
        <v>62355.447999999997</v>
      </c>
      <c r="L49" s="408"/>
      <c r="M49" s="86">
        <v>48546.222999999998</v>
      </c>
      <c r="N49" s="274"/>
      <c r="O49" s="573">
        <v>115636</v>
      </c>
      <c r="P49" s="424"/>
      <c r="Q49" s="424">
        <v>70448</v>
      </c>
      <c r="R49" s="424"/>
      <c r="S49" s="424">
        <v>65772</v>
      </c>
      <c r="T49" s="408"/>
      <c r="U49" s="424">
        <v>48801</v>
      </c>
      <c r="V49" s="483"/>
      <c r="W49" s="573">
        <v>120074</v>
      </c>
      <c r="X49" s="424"/>
      <c r="Y49" s="424">
        <v>125661</v>
      </c>
      <c r="Z49" s="408"/>
      <c r="AA49" s="423">
        <v>125259.31</v>
      </c>
      <c r="AB49" s="408"/>
      <c r="AC49" s="86">
        <v>112825.325</v>
      </c>
      <c r="AD49" s="483"/>
      <c r="AE49" s="85">
        <v>113647</v>
      </c>
      <c r="AF49" s="424">
        <v>117178</v>
      </c>
      <c r="AG49" s="424"/>
      <c r="AH49" s="424"/>
      <c r="AI49" s="424">
        <v>139554</v>
      </c>
      <c r="AJ49" s="424"/>
      <c r="AK49" s="86">
        <v>126222</v>
      </c>
      <c r="AL49" s="274"/>
      <c r="AM49" s="85">
        <v>98591</v>
      </c>
      <c r="AN49" s="424">
        <v>104285</v>
      </c>
      <c r="AO49" s="424"/>
      <c r="AP49" s="424">
        <v>102455</v>
      </c>
      <c r="AQ49" s="424"/>
      <c r="AR49" s="424">
        <v>99251</v>
      </c>
      <c r="AS49" s="86"/>
      <c r="AT49" s="274"/>
      <c r="AU49" s="85">
        <v>117411</v>
      </c>
      <c r="AV49" s="424">
        <v>110075</v>
      </c>
      <c r="AW49" s="274"/>
      <c r="AX49" s="424">
        <v>101585</v>
      </c>
      <c r="AY49" s="274"/>
      <c r="AZ49" s="424">
        <v>97114</v>
      </c>
      <c r="BA49" s="315"/>
      <c r="BB49" s="274"/>
      <c r="BC49" s="85">
        <v>124498</v>
      </c>
      <c r="BD49" s="424">
        <v>125067</v>
      </c>
      <c r="BE49" s="424"/>
      <c r="BF49" s="424">
        <v>123346</v>
      </c>
      <c r="BG49" s="274"/>
      <c r="BH49" s="424">
        <v>118243</v>
      </c>
      <c r="BI49" s="315"/>
      <c r="BJ49" s="274"/>
      <c r="BK49" s="85">
        <v>94444</v>
      </c>
      <c r="BL49" s="38">
        <v>95900</v>
      </c>
      <c r="BM49" s="38"/>
      <c r="BN49" s="38">
        <v>131647</v>
      </c>
      <c r="BO49" s="274"/>
      <c r="BP49" s="38">
        <v>125636</v>
      </c>
      <c r="BQ49" s="315"/>
      <c r="BR49" s="274"/>
      <c r="BS49" s="85">
        <v>92322</v>
      </c>
      <c r="BT49" s="38">
        <v>97916</v>
      </c>
      <c r="BV49" s="38">
        <v>93982</v>
      </c>
      <c r="BW49" s="315"/>
    </row>
    <row r="50" spans="1:75" ht="17.25" outlineLevel="1" x14ac:dyDescent="0.4">
      <c r="A50" s="4"/>
      <c r="B50" s="302" t="s">
        <v>28</v>
      </c>
      <c r="C50" s="274"/>
      <c r="D50" s="274"/>
      <c r="E50" s="746">
        <f>9756.43700000001-41.667</f>
        <v>9714.7700000000114</v>
      </c>
      <c r="F50" s="274"/>
      <c r="G50" s="574">
        <v>9258.0119999999952</v>
      </c>
      <c r="H50" s="428"/>
      <c r="I50" s="428">
        <v>13637.501999999993</v>
      </c>
      <c r="J50" s="428"/>
      <c r="K50" s="428">
        <v>12110.931000000004</v>
      </c>
      <c r="L50" s="409"/>
      <c r="M50" s="273">
        <v>9163.1510000000053</v>
      </c>
      <c r="N50" s="274"/>
      <c r="O50" s="574">
        <v>26160</v>
      </c>
      <c r="P50" s="428"/>
      <c r="Q50" s="428">
        <v>11724</v>
      </c>
      <c r="R50" s="428"/>
      <c r="S50" s="428">
        <v>10907</v>
      </c>
      <c r="T50" s="409"/>
      <c r="U50" s="428">
        <v>8891</v>
      </c>
      <c r="V50" s="483"/>
      <c r="W50" s="574">
        <v>35446</v>
      </c>
      <c r="X50" s="428"/>
      <c r="Y50" s="428">
        <v>40356</v>
      </c>
      <c r="Z50" s="409"/>
      <c r="AA50" s="428">
        <f>AA51-AA49</f>
        <v>41544.75</v>
      </c>
      <c r="AB50" s="409"/>
      <c r="AC50" s="273">
        <v>30984.778000000006</v>
      </c>
      <c r="AD50" s="483"/>
      <c r="AE50" s="272">
        <v>49282</v>
      </c>
      <c r="AF50" s="428">
        <v>55246</v>
      </c>
      <c r="AG50" s="428"/>
      <c r="AH50" s="428"/>
      <c r="AI50" s="428">
        <v>49108</v>
      </c>
      <c r="AJ50" s="428"/>
      <c r="AK50" s="273">
        <v>33850</v>
      </c>
      <c r="AL50" s="274"/>
      <c r="AM50" s="272">
        <v>57042</v>
      </c>
      <c r="AN50" s="428">
        <v>56120</v>
      </c>
      <c r="AO50" s="428"/>
      <c r="AP50" s="428">
        <v>56672</v>
      </c>
      <c r="AQ50" s="428"/>
      <c r="AR50" s="428">
        <v>54573</v>
      </c>
      <c r="AS50" s="273"/>
      <c r="AT50" s="274"/>
      <c r="AU50" s="272">
        <v>30331</v>
      </c>
      <c r="AV50" s="428">
        <v>47636</v>
      </c>
      <c r="AW50" s="274"/>
      <c r="AX50" s="428">
        <v>56233</v>
      </c>
      <c r="AY50" s="274"/>
      <c r="AZ50" s="428">
        <v>56144</v>
      </c>
      <c r="BA50" s="315"/>
      <c r="BB50" s="274"/>
      <c r="BC50" s="272">
        <v>38791</v>
      </c>
      <c r="BD50" s="428">
        <v>40249</v>
      </c>
      <c r="BE50" s="428"/>
      <c r="BF50" s="428">
        <v>44357</v>
      </c>
      <c r="BG50" s="274"/>
      <c r="BH50" s="428">
        <v>30528</v>
      </c>
      <c r="BI50" s="315"/>
      <c r="BJ50" s="274"/>
      <c r="BK50" s="272">
        <v>31246</v>
      </c>
      <c r="BL50" s="271">
        <v>36663</v>
      </c>
      <c r="BM50" s="271"/>
      <c r="BN50" s="271">
        <v>48843</v>
      </c>
      <c r="BO50" s="274"/>
      <c r="BP50" s="271">
        <v>37877</v>
      </c>
      <c r="BQ50" s="315"/>
      <c r="BR50" s="274"/>
      <c r="BS50" s="272">
        <v>45227</v>
      </c>
      <c r="BT50" s="271">
        <v>49642</v>
      </c>
      <c r="BV50" s="271">
        <v>33223</v>
      </c>
      <c r="BW50" s="315"/>
    </row>
    <row r="51" spans="1:75" x14ac:dyDescent="0.25">
      <c r="A51" s="4" t="s">
        <v>223</v>
      </c>
      <c r="B51" s="308" t="s">
        <v>29</v>
      </c>
      <c r="C51" s="274"/>
      <c r="D51" s="274"/>
      <c r="E51" s="730">
        <f>65955.089-41.667</f>
        <v>65913.422000000006</v>
      </c>
      <c r="F51" s="274"/>
      <c r="G51" s="572">
        <v>63309.970999999998</v>
      </c>
      <c r="H51" s="423"/>
      <c r="I51" s="423">
        <v>79897.731</v>
      </c>
      <c r="J51" s="423"/>
      <c r="K51" s="423">
        <v>74466.379000000001</v>
      </c>
      <c r="L51" s="406"/>
      <c r="M51" s="40">
        <v>57709.374000000003</v>
      </c>
      <c r="N51" s="274"/>
      <c r="O51" s="572">
        <v>141796</v>
      </c>
      <c r="P51" s="423"/>
      <c r="Q51" s="423">
        <f>SUM(Q49:Q50)</f>
        <v>82172</v>
      </c>
      <c r="R51" s="423"/>
      <c r="S51" s="423">
        <f>SUM(S49:S50)</f>
        <v>76679</v>
      </c>
      <c r="T51" s="406"/>
      <c r="U51" s="423">
        <f>SUM(U49:U50)</f>
        <v>57692</v>
      </c>
      <c r="V51" s="483"/>
      <c r="W51" s="572">
        <v>155520</v>
      </c>
      <c r="X51" s="423"/>
      <c r="Y51" s="423">
        <v>166017</v>
      </c>
      <c r="Z51" s="406"/>
      <c r="AA51" s="423">
        <v>166804.06</v>
      </c>
      <c r="AB51" s="406"/>
      <c r="AC51" s="40">
        <v>143810.103</v>
      </c>
      <c r="AD51" s="483"/>
      <c r="AE51" s="84">
        <v>162929</v>
      </c>
      <c r="AF51" s="423">
        <v>172424</v>
      </c>
      <c r="AG51" s="423"/>
      <c r="AH51" s="423"/>
      <c r="AI51" s="423">
        <v>188662</v>
      </c>
      <c r="AJ51" s="423"/>
      <c r="AK51" s="40">
        <v>160072</v>
      </c>
      <c r="AL51" s="274"/>
      <c r="AM51" s="84">
        <v>155633</v>
      </c>
      <c r="AN51" s="423">
        <v>160405</v>
      </c>
      <c r="AO51" s="423"/>
      <c r="AP51" s="423">
        <v>159127</v>
      </c>
      <c r="AQ51" s="423"/>
      <c r="AR51" s="423">
        <v>153824</v>
      </c>
      <c r="AS51" s="40"/>
      <c r="AT51" s="274"/>
      <c r="AU51" s="84">
        <v>147742</v>
      </c>
      <c r="AV51" s="423">
        <v>157711</v>
      </c>
      <c r="AW51" s="274"/>
      <c r="AX51" s="423">
        <v>157818</v>
      </c>
      <c r="AY51" s="274"/>
      <c r="AZ51" s="423">
        <v>153258</v>
      </c>
      <c r="BA51" s="315"/>
      <c r="BB51" s="274"/>
      <c r="BC51" s="84">
        <v>163289</v>
      </c>
      <c r="BD51" s="423">
        <v>165316</v>
      </c>
      <c r="BE51" s="423"/>
      <c r="BF51" s="423">
        <v>167703</v>
      </c>
      <c r="BG51" s="274"/>
      <c r="BH51" s="423">
        <v>148771</v>
      </c>
      <c r="BI51" s="315"/>
      <c r="BJ51" s="274"/>
      <c r="BK51" s="84">
        <v>125690</v>
      </c>
      <c r="BL51" s="39">
        <v>132563</v>
      </c>
      <c r="BM51" s="39"/>
      <c r="BN51" s="39">
        <v>180490</v>
      </c>
      <c r="BO51" s="274"/>
      <c r="BP51" s="39">
        <v>163513</v>
      </c>
      <c r="BQ51" s="315"/>
      <c r="BR51" s="274"/>
      <c r="BS51" s="84">
        <v>137549</v>
      </c>
      <c r="BT51" s="39">
        <v>147558</v>
      </c>
      <c r="BV51" s="39">
        <v>127205</v>
      </c>
      <c r="BW51" s="315"/>
    </row>
    <row r="52" spans="1:75" x14ac:dyDescent="0.25">
      <c r="A52" s="4"/>
      <c r="B52" s="308"/>
      <c r="C52" s="274"/>
      <c r="D52" s="274"/>
      <c r="E52" s="730"/>
      <c r="F52" s="274"/>
      <c r="G52" s="572"/>
      <c r="H52" s="423"/>
      <c r="I52" s="423"/>
      <c r="J52" s="423"/>
      <c r="K52" s="423"/>
      <c r="L52" s="406"/>
      <c r="M52" s="40"/>
      <c r="N52" s="274"/>
      <c r="O52" s="572"/>
      <c r="P52" s="423"/>
      <c r="Q52" s="423"/>
      <c r="R52" s="423"/>
      <c r="S52" s="423"/>
      <c r="T52" s="406"/>
      <c r="U52" s="423"/>
      <c r="V52" s="483"/>
      <c r="W52" s="572"/>
      <c r="X52" s="423"/>
      <c r="Y52" s="423"/>
      <c r="Z52" s="406"/>
      <c r="AA52" s="423"/>
      <c r="AB52" s="406"/>
      <c r="AC52" s="40"/>
      <c r="AD52" s="483"/>
      <c r="AE52" s="84"/>
      <c r="AF52" s="423"/>
      <c r="AG52" s="423"/>
      <c r="AH52" s="423"/>
      <c r="AI52" s="423"/>
      <c r="AJ52" s="423"/>
      <c r="AK52" s="40">
        <v>0</v>
      </c>
      <c r="AL52" s="274"/>
      <c r="AM52" s="84"/>
      <c r="AN52" s="423"/>
      <c r="AO52" s="423"/>
      <c r="AP52" s="423"/>
      <c r="AQ52" s="423"/>
      <c r="AR52" s="423"/>
      <c r="AS52" s="40"/>
      <c r="AT52" s="274"/>
      <c r="AU52" s="84"/>
      <c r="AV52" s="423"/>
      <c r="AW52" s="274"/>
      <c r="AX52" s="423"/>
      <c r="AY52" s="274"/>
      <c r="AZ52" s="274"/>
      <c r="BA52" s="315"/>
      <c r="BB52" s="274"/>
      <c r="BC52" s="84"/>
      <c r="BD52" s="423"/>
      <c r="BE52" s="423"/>
      <c r="BF52" s="423"/>
      <c r="BG52" s="274"/>
      <c r="BH52" s="423"/>
      <c r="BI52" s="315"/>
      <c r="BJ52" s="274"/>
      <c r="BK52" s="84"/>
      <c r="BL52" s="39"/>
      <c r="BM52" s="39"/>
      <c r="BN52" s="39"/>
      <c r="BO52" s="274"/>
      <c r="BP52" s="39"/>
      <c r="BQ52" s="315"/>
      <c r="BR52" s="274"/>
      <c r="BS52" s="84"/>
      <c r="BT52" s="39"/>
      <c r="BV52" s="39"/>
      <c r="BW52" s="315"/>
    </row>
    <row r="53" spans="1:75" x14ac:dyDescent="0.25">
      <c r="A53" s="4" t="s">
        <v>224</v>
      </c>
      <c r="B53" s="308" t="s">
        <v>36</v>
      </c>
      <c r="C53" s="274"/>
      <c r="D53" s="274"/>
      <c r="E53" s="730">
        <v>31301.706160000085</v>
      </c>
      <c r="F53" s="274"/>
      <c r="G53" s="572">
        <v>35760.872160000086</v>
      </c>
      <c r="H53" s="423"/>
      <c r="I53" s="423">
        <v>33216.398160000084</v>
      </c>
      <c r="J53" s="423"/>
      <c r="K53" s="423">
        <v>34538.199160000084</v>
      </c>
      <c r="L53" s="406"/>
      <c r="M53" s="40">
        <v>33831.169160000085</v>
      </c>
      <c r="N53" s="274"/>
      <c r="O53" s="572">
        <v>78490</v>
      </c>
      <c r="P53" s="423"/>
      <c r="Q53" s="423">
        <v>39439</v>
      </c>
      <c r="R53" s="423"/>
      <c r="S53" s="423">
        <v>41456</v>
      </c>
      <c r="T53" s="406"/>
      <c r="U53" s="423">
        <v>39825</v>
      </c>
      <c r="V53" s="483"/>
      <c r="W53" s="572">
        <v>129128</v>
      </c>
      <c r="X53" s="423"/>
      <c r="Y53" s="423">
        <v>125876</v>
      </c>
      <c r="Z53" s="406"/>
      <c r="AA53" s="423">
        <v>97223.619160000089</v>
      </c>
      <c r="AB53" s="406"/>
      <c r="AC53" s="40">
        <v>94268.510160000093</v>
      </c>
      <c r="AD53" s="483"/>
      <c r="AE53" s="84">
        <v>129271</v>
      </c>
      <c r="AF53" s="423">
        <v>131956</v>
      </c>
      <c r="AG53" s="423"/>
      <c r="AH53" s="423"/>
      <c r="AI53" s="423">
        <v>136875</v>
      </c>
      <c r="AJ53" s="423"/>
      <c r="AK53" s="40">
        <v>133405</v>
      </c>
      <c r="AL53" s="274"/>
      <c r="AM53" s="84">
        <v>109878</v>
      </c>
      <c r="AN53" s="423">
        <v>115504</v>
      </c>
      <c r="AO53" s="423"/>
      <c r="AP53" s="423">
        <v>124320</v>
      </c>
      <c r="AQ53" s="423"/>
      <c r="AR53" s="423">
        <v>128440</v>
      </c>
      <c r="AS53" s="40"/>
      <c r="AT53" s="274"/>
      <c r="AU53" s="84">
        <v>89080</v>
      </c>
      <c r="AV53" s="423">
        <v>83185</v>
      </c>
      <c r="AW53" s="274"/>
      <c r="AX53" s="423">
        <v>97213</v>
      </c>
      <c r="AY53" s="274"/>
      <c r="AZ53" s="423">
        <v>104391</v>
      </c>
      <c r="BA53" s="315"/>
      <c r="BB53" s="274"/>
      <c r="BC53" s="84">
        <v>126809</v>
      </c>
      <c r="BD53" s="423">
        <v>123427</v>
      </c>
      <c r="BE53" s="423"/>
      <c r="BF53" s="423">
        <v>93242</v>
      </c>
      <c r="BG53" s="274"/>
      <c r="BH53" s="423">
        <v>91732</v>
      </c>
      <c r="BI53" s="315"/>
      <c r="BJ53" s="274"/>
      <c r="BK53" s="84">
        <v>70187</v>
      </c>
      <c r="BL53" s="39">
        <v>71304</v>
      </c>
      <c r="BM53" s="39"/>
      <c r="BN53" s="39">
        <v>131864</v>
      </c>
      <c r="BO53" s="274"/>
      <c r="BP53" s="39">
        <v>128444</v>
      </c>
      <c r="BQ53" s="315"/>
      <c r="BR53" s="274"/>
      <c r="BS53" s="84">
        <v>61810</v>
      </c>
      <c r="BT53" s="39">
        <v>59575</v>
      </c>
      <c r="BV53" s="39">
        <v>71092</v>
      </c>
      <c r="BW53" s="315"/>
    </row>
    <row r="54" spans="1:75" x14ac:dyDescent="0.25">
      <c r="A54" s="4"/>
      <c r="B54" s="302"/>
      <c r="C54" s="274"/>
      <c r="D54" s="274"/>
      <c r="E54" s="747"/>
      <c r="F54" s="274"/>
      <c r="G54" s="575"/>
      <c r="H54" s="423"/>
      <c r="I54" s="423"/>
      <c r="J54" s="423"/>
      <c r="K54" s="423"/>
      <c r="L54" s="406"/>
      <c r="M54" s="40"/>
      <c r="N54" s="274"/>
      <c r="O54" s="575"/>
      <c r="P54" s="423"/>
      <c r="Q54" s="423"/>
      <c r="R54" s="423"/>
      <c r="S54" s="423"/>
      <c r="T54" s="406"/>
      <c r="U54" s="423"/>
      <c r="V54" s="483"/>
      <c r="W54" s="575"/>
      <c r="X54" s="423"/>
      <c r="Y54" s="423"/>
      <c r="Z54" s="406"/>
      <c r="AA54" s="445"/>
      <c r="AB54" s="406"/>
      <c r="AC54" s="40"/>
      <c r="AD54" s="483"/>
      <c r="AE54" s="84"/>
      <c r="AF54" s="423"/>
      <c r="AG54" s="423"/>
      <c r="AH54" s="423"/>
      <c r="AI54" s="423"/>
      <c r="AJ54" s="423"/>
      <c r="AK54" s="40">
        <v>0</v>
      </c>
      <c r="AL54" s="274"/>
      <c r="AM54" s="84"/>
      <c r="AN54" s="423"/>
      <c r="AO54" s="423"/>
      <c r="AP54" s="423"/>
      <c r="AQ54" s="423"/>
      <c r="AR54" s="423"/>
      <c r="AS54" s="40"/>
      <c r="AT54" s="274"/>
      <c r="AU54" s="84"/>
      <c r="AV54" s="274"/>
      <c r="AW54" s="274"/>
      <c r="AX54" s="274"/>
      <c r="AY54" s="274"/>
      <c r="AZ54" s="274"/>
      <c r="BA54" s="315"/>
      <c r="BB54" s="274"/>
      <c r="BC54" s="84"/>
      <c r="BD54" s="423"/>
      <c r="BE54" s="423"/>
      <c r="BF54" s="423"/>
      <c r="BG54" s="274"/>
      <c r="BH54" s="274"/>
      <c r="BI54" s="315"/>
      <c r="BJ54" s="274"/>
      <c r="BK54" s="84"/>
      <c r="BL54" s="39"/>
      <c r="BM54" s="39"/>
      <c r="BN54" s="39"/>
      <c r="BO54" s="274"/>
      <c r="BP54" s="274"/>
      <c r="BQ54" s="315"/>
      <c r="BR54" s="274"/>
      <c r="BS54" s="84"/>
      <c r="BT54" s="39"/>
      <c r="BV54" s="39"/>
      <c r="BW54" s="315"/>
    </row>
    <row r="55" spans="1:75" x14ac:dyDescent="0.25">
      <c r="A55" s="4" t="s">
        <v>231</v>
      </c>
      <c r="B55" s="308" t="s">
        <v>66</v>
      </c>
      <c r="C55" s="274"/>
      <c r="D55" s="274"/>
      <c r="E55" s="732">
        <v>51</v>
      </c>
      <c r="F55" s="274"/>
      <c r="G55" s="639">
        <v>69</v>
      </c>
      <c r="H55" s="653">
        <f>I55-G55</f>
        <v>520</v>
      </c>
      <c r="I55" s="653">
        <v>589</v>
      </c>
      <c r="J55" s="653">
        <f>K55-I55</f>
        <v>580</v>
      </c>
      <c r="K55" s="653">
        <v>1169</v>
      </c>
      <c r="L55" s="653">
        <f>M55-K55</f>
        <v>325</v>
      </c>
      <c r="M55" s="657">
        <v>1494</v>
      </c>
      <c r="N55" s="274"/>
      <c r="O55" s="575">
        <v>929</v>
      </c>
      <c r="P55" s="423">
        <v>302</v>
      </c>
      <c r="Q55" s="423">
        <v>1231</v>
      </c>
      <c r="R55" s="423">
        <v>186</v>
      </c>
      <c r="S55" s="423">
        <v>1417</v>
      </c>
      <c r="T55" s="423">
        <f>U55-S55</f>
        <v>225</v>
      </c>
      <c r="U55" s="423">
        <v>1642</v>
      </c>
      <c r="V55" s="483"/>
      <c r="W55" s="575">
        <v>547</v>
      </c>
      <c r="X55" s="423">
        <f t="shared" ref="X55" si="42">Y55-W55</f>
        <v>939</v>
      </c>
      <c r="Y55" s="423">
        <v>1486</v>
      </c>
      <c r="Z55" s="406">
        <f t="shared" ref="Z55:AB55" si="43">AA55-Y55</f>
        <v>664.64499999999998</v>
      </c>
      <c r="AA55" s="454">
        <v>2150.645</v>
      </c>
      <c r="AB55" s="406">
        <f t="shared" si="43"/>
        <v>1401.355</v>
      </c>
      <c r="AC55" s="40">
        <v>3552</v>
      </c>
      <c r="AD55" s="483"/>
      <c r="AE55" s="84">
        <v>1329</v>
      </c>
      <c r="AF55" s="423">
        <f>AG55-AE55</f>
        <v>1422</v>
      </c>
      <c r="AG55" s="423">
        <v>2751</v>
      </c>
      <c r="AH55" s="423"/>
      <c r="AI55" s="423">
        <v>3805</v>
      </c>
      <c r="AJ55" s="423"/>
      <c r="AK55" s="40">
        <v>4442</v>
      </c>
      <c r="AL55" s="274"/>
      <c r="AM55" s="84">
        <v>876</v>
      </c>
      <c r="AN55" s="423">
        <v>1211</v>
      </c>
      <c r="AO55" s="423">
        <v>2087</v>
      </c>
      <c r="AP55" s="423">
        <v>1059</v>
      </c>
      <c r="AQ55" s="423">
        <v>3146</v>
      </c>
      <c r="AR55" s="423">
        <f>AS55-AQ55</f>
        <v>1516</v>
      </c>
      <c r="AS55" s="40">
        <v>4662</v>
      </c>
      <c r="AT55" s="274"/>
      <c r="AU55" s="84">
        <v>873</v>
      </c>
      <c r="AV55" s="423">
        <v>800</v>
      </c>
      <c r="AW55" s="429">
        <v>1673</v>
      </c>
      <c r="AX55" s="423">
        <v>1070</v>
      </c>
      <c r="AY55" s="429">
        <v>2743</v>
      </c>
      <c r="AZ55" s="429">
        <v>1108</v>
      </c>
      <c r="BA55" s="332">
        <v>3851</v>
      </c>
      <c r="BB55" s="274"/>
      <c r="BC55" s="84">
        <v>988</v>
      </c>
      <c r="BD55" s="423">
        <v>52</v>
      </c>
      <c r="BE55" s="423">
        <v>1040</v>
      </c>
      <c r="BF55" s="423">
        <v>1056</v>
      </c>
      <c r="BG55" s="429">
        <v>2096</v>
      </c>
      <c r="BH55" s="423">
        <v>803</v>
      </c>
      <c r="BI55" s="332">
        <v>2899</v>
      </c>
      <c r="BJ55" s="274"/>
      <c r="BK55" s="84">
        <v>787</v>
      </c>
      <c r="BL55" s="39">
        <v>1512</v>
      </c>
      <c r="BM55" s="39">
        <v>2299</v>
      </c>
      <c r="BN55" s="39">
        <v>764</v>
      </c>
      <c r="BO55" s="340">
        <v>3063</v>
      </c>
      <c r="BP55" s="39">
        <v>705</v>
      </c>
      <c r="BQ55" s="332">
        <v>3768</v>
      </c>
      <c r="BR55" s="274"/>
      <c r="BS55" s="84">
        <v>455</v>
      </c>
      <c r="BT55" s="103">
        <v>513</v>
      </c>
      <c r="BU55" s="331">
        <v>968</v>
      </c>
      <c r="BV55" s="103">
        <v>863</v>
      </c>
      <c r="BW55" s="332">
        <v>1831</v>
      </c>
    </row>
    <row r="56" spans="1:75" ht="12" customHeight="1" x14ac:dyDescent="0.25">
      <c r="A56" s="4"/>
      <c r="B56" s="308"/>
      <c r="C56" s="274"/>
      <c r="D56" s="274"/>
      <c r="E56" s="732"/>
      <c r="F56" s="274"/>
      <c r="G56" s="639"/>
      <c r="H56" s="653"/>
      <c r="I56" s="653"/>
      <c r="J56" s="653"/>
      <c r="K56" s="653"/>
      <c r="L56" s="653"/>
      <c r="M56" s="657"/>
      <c r="N56" s="274"/>
      <c r="O56" s="575"/>
      <c r="P56" s="423"/>
      <c r="Q56" s="423"/>
      <c r="R56" s="423"/>
      <c r="S56" s="423"/>
      <c r="T56" s="423"/>
      <c r="U56" s="423"/>
      <c r="V56" s="483"/>
      <c r="W56" s="575"/>
      <c r="X56" s="423"/>
      <c r="Y56" s="423"/>
      <c r="Z56" s="406"/>
      <c r="AA56" s="445"/>
      <c r="AB56" s="406"/>
      <c r="AC56" s="40"/>
      <c r="AD56" s="483"/>
      <c r="AE56" s="84"/>
      <c r="AF56" s="423"/>
      <c r="AG56" s="423"/>
      <c r="AH56" s="423"/>
      <c r="AI56" s="423"/>
      <c r="AJ56" s="423"/>
      <c r="AK56" s="40">
        <v>0</v>
      </c>
      <c r="AL56" s="274"/>
      <c r="AM56" s="84"/>
      <c r="AN56" s="423"/>
      <c r="AO56" s="423"/>
      <c r="AP56" s="423"/>
      <c r="AQ56" s="423"/>
      <c r="AR56" s="423"/>
      <c r="AS56" s="40"/>
      <c r="AT56" s="274"/>
      <c r="AU56" s="84"/>
      <c r="AV56" s="423"/>
      <c r="AW56" s="429"/>
      <c r="AX56" s="423"/>
      <c r="AY56" s="429"/>
      <c r="AZ56" s="429"/>
      <c r="BA56" s="332"/>
      <c r="BB56" s="274"/>
      <c r="BC56" s="84"/>
      <c r="BD56" s="423"/>
      <c r="BE56" s="423"/>
      <c r="BF56" s="423"/>
      <c r="BG56" s="429"/>
      <c r="BH56" s="423"/>
      <c r="BI56" s="332"/>
      <c r="BJ56" s="274"/>
      <c r="BK56" s="84"/>
      <c r="BL56" s="39"/>
      <c r="BM56" s="39"/>
      <c r="BN56" s="39"/>
      <c r="BO56" s="340"/>
      <c r="BP56" s="39"/>
      <c r="BQ56" s="332"/>
      <c r="BR56" s="274"/>
      <c r="BS56" s="84"/>
      <c r="BT56" s="103"/>
      <c r="BU56" s="331"/>
      <c r="BV56" s="103"/>
      <c r="BW56" s="332"/>
    </row>
    <row r="57" spans="1:75" x14ac:dyDescent="0.25">
      <c r="A57" s="4" t="s">
        <v>232</v>
      </c>
      <c r="B57" s="419" t="s">
        <v>170</v>
      </c>
      <c r="C57" s="274"/>
      <c r="D57" s="274"/>
      <c r="E57" s="732">
        <v>0</v>
      </c>
      <c r="F57" s="274"/>
      <c r="G57" s="639">
        <v>0</v>
      </c>
      <c r="H57" s="653">
        <v>0</v>
      </c>
      <c r="I57" s="653">
        <v>0</v>
      </c>
      <c r="J57" s="653">
        <v>0</v>
      </c>
      <c r="K57" s="653">
        <v>0</v>
      </c>
      <c r="L57" s="653">
        <v>0</v>
      </c>
      <c r="M57" s="657">
        <v>0</v>
      </c>
      <c r="N57" s="274"/>
      <c r="O57" s="575">
        <v>0</v>
      </c>
      <c r="P57" s="451">
        <v>0</v>
      </c>
      <c r="Q57" s="423">
        <v>0</v>
      </c>
      <c r="R57" s="451">
        <v>0</v>
      </c>
      <c r="S57" s="423">
        <v>0</v>
      </c>
      <c r="T57" s="423">
        <v>0</v>
      </c>
      <c r="U57" s="423">
        <v>0</v>
      </c>
      <c r="V57" s="483"/>
      <c r="W57" s="575">
        <v>0</v>
      </c>
      <c r="X57" s="451"/>
      <c r="Y57" s="423">
        <v>0</v>
      </c>
      <c r="Z57" s="406">
        <f t="shared" ref="Z57:AB57" si="44">AA57-Y57</f>
        <v>0</v>
      </c>
      <c r="AA57" s="445">
        <v>0</v>
      </c>
      <c r="AB57" s="406">
        <f t="shared" si="44"/>
        <v>0</v>
      </c>
      <c r="AC57" s="341">
        <v>0</v>
      </c>
      <c r="AD57" s="483"/>
      <c r="AE57" s="84">
        <v>0</v>
      </c>
      <c r="AF57" s="451"/>
      <c r="AG57" s="423"/>
      <c r="AH57" s="423"/>
      <c r="AI57" s="423"/>
      <c r="AJ57" s="451"/>
      <c r="AK57" s="341">
        <v>0</v>
      </c>
      <c r="AL57" s="274"/>
      <c r="AM57" s="84">
        <v>0</v>
      </c>
      <c r="AN57" s="423">
        <v>0</v>
      </c>
      <c r="AO57" s="423">
        <v>0</v>
      </c>
      <c r="AP57" s="423">
        <v>0</v>
      </c>
      <c r="AQ57" s="423">
        <v>0</v>
      </c>
      <c r="AR57" s="451">
        <v>0</v>
      </c>
      <c r="AS57" s="341">
        <v>0</v>
      </c>
      <c r="AT57" s="274"/>
      <c r="AU57" s="84">
        <v>0</v>
      </c>
      <c r="AV57" s="423">
        <v>0</v>
      </c>
      <c r="AW57" s="429">
        <v>0</v>
      </c>
      <c r="AX57" s="423">
        <v>0</v>
      </c>
      <c r="AY57" s="429">
        <v>0</v>
      </c>
      <c r="AZ57" s="429">
        <v>0</v>
      </c>
      <c r="BA57" s="332">
        <v>0</v>
      </c>
      <c r="BB57" s="274"/>
      <c r="BC57" s="84">
        <v>0</v>
      </c>
      <c r="BD57" s="423">
        <v>763</v>
      </c>
      <c r="BE57" s="423">
        <v>763</v>
      </c>
      <c r="BF57" s="423">
        <v>-541</v>
      </c>
      <c r="BG57" s="429">
        <v>222</v>
      </c>
      <c r="BH57" s="423">
        <v>0</v>
      </c>
      <c r="BI57" s="332">
        <v>222</v>
      </c>
      <c r="BJ57" s="274"/>
      <c r="BK57" s="84">
        <v>0</v>
      </c>
      <c r="BL57" s="423">
        <v>0</v>
      </c>
      <c r="BM57" s="39">
        <v>0</v>
      </c>
      <c r="BN57" s="423">
        <v>0</v>
      </c>
      <c r="BO57" s="340">
        <v>0</v>
      </c>
      <c r="BP57" s="423">
        <v>541</v>
      </c>
      <c r="BQ57" s="332">
        <v>541</v>
      </c>
      <c r="BR57" s="274"/>
      <c r="BS57" s="84">
        <v>0</v>
      </c>
      <c r="BT57" s="423">
        <v>0</v>
      </c>
      <c r="BU57" s="331">
        <v>0</v>
      </c>
      <c r="BV57" s="423">
        <v>0</v>
      </c>
      <c r="BW57" s="332">
        <v>0</v>
      </c>
    </row>
    <row r="58" spans="1:75" x14ac:dyDescent="0.25">
      <c r="A58" s="4"/>
      <c r="B58" s="308"/>
      <c r="C58" s="274"/>
      <c r="D58" s="274"/>
      <c r="E58" s="747"/>
      <c r="F58" s="274"/>
      <c r="G58" s="575"/>
      <c r="H58" s="423"/>
      <c r="I58" s="423"/>
      <c r="J58" s="423"/>
      <c r="K58" s="423"/>
      <c r="L58" s="423"/>
      <c r="M58" s="40"/>
      <c r="N58" s="274"/>
      <c r="O58" s="575"/>
      <c r="P58" s="423"/>
      <c r="Q58" s="423"/>
      <c r="R58" s="423"/>
      <c r="S58" s="423"/>
      <c r="T58" s="423"/>
      <c r="U58" s="40"/>
      <c r="V58" s="483"/>
      <c r="W58" s="575"/>
      <c r="X58" s="423"/>
      <c r="Y58" s="423"/>
      <c r="Z58" s="423"/>
      <c r="AA58" s="423"/>
      <c r="AB58" s="423"/>
      <c r="AC58" s="40"/>
      <c r="AD58" s="483"/>
      <c r="AE58" s="84"/>
      <c r="AF58" s="423"/>
      <c r="AG58" s="423"/>
      <c r="AH58" s="423"/>
      <c r="AI58" s="423"/>
      <c r="AJ58" s="423"/>
      <c r="AK58" s="40"/>
      <c r="AL58" s="274"/>
      <c r="AM58" s="84"/>
      <c r="AN58" s="423"/>
      <c r="AO58" s="423"/>
      <c r="AP58" s="423"/>
      <c r="AQ58" s="423"/>
      <c r="AR58" s="423"/>
      <c r="AS58" s="40"/>
      <c r="AT58" s="274"/>
      <c r="AU58" s="84"/>
      <c r="AV58" s="274"/>
      <c r="AW58" s="274"/>
      <c r="AX58" s="274"/>
      <c r="AY58" s="274"/>
      <c r="AZ58" s="274"/>
      <c r="BA58" s="315"/>
      <c r="BB58" s="274"/>
      <c r="BC58" s="84"/>
      <c r="BD58" s="423"/>
      <c r="BE58" s="423"/>
      <c r="BF58" s="423"/>
      <c r="BG58" s="274"/>
      <c r="BH58" s="274"/>
      <c r="BI58" s="315"/>
      <c r="BJ58" s="274"/>
      <c r="BK58" s="84"/>
      <c r="BL58" s="39"/>
      <c r="BM58" s="39"/>
      <c r="BN58" s="39"/>
      <c r="BO58" s="274"/>
      <c r="BP58" s="274"/>
      <c r="BQ58" s="315"/>
      <c r="BR58" s="274"/>
      <c r="BS58" s="84"/>
      <c r="BV58" s="274"/>
      <c r="BW58" s="315"/>
    </row>
    <row r="59" spans="1:75" x14ac:dyDescent="0.25">
      <c r="A59" s="4"/>
      <c r="B59" s="309" t="s">
        <v>67</v>
      </c>
      <c r="C59" s="274"/>
      <c r="D59" s="274"/>
      <c r="E59" s="477"/>
      <c r="F59" s="274"/>
      <c r="G59" s="84"/>
      <c r="H59" s="423"/>
      <c r="I59" s="423"/>
      <c r="J59" s="423"/>
      <c r="K59" s="423"/>
      <c r="L59" s="423"/>
      <c r="M59" s="40"/>
      <c r="N59" s="274"/>
      <c r="O59" s="84"/>
      <c r="P59" s="423"/>
      <c r="Q59" s="423"/>
      <c r="R59" s="423"/>
      <c r="S59" s="423"/>
      <c r="T59" s="423"/>
      <c r="U59" s="40"/>
      <c r="V59" s="483"/>
      <c r="W59" s="84"/>
      <c r="X59" s="423"/>
      <c r="Y59" s="423"/>
      <c r="Z59" s="423"/>
      <c r="AA59" s="423"/>
      <c r="AB59" s="423"/>
      <c r="AC59" s="40"/>
      <c r="AD59" s="483"/>
      <c r="AE59" s="84"/>
      <c r="AF59" s="423"/>
      <c r="AG59" s="423"/>
      <c r="AH59" s="423"/>
      <c r="AI59" s="423"/>
      <c r="AJ59" s="423"/>
      <c r="AK59" s="40"/>
      <c r="AL59" s="274"/>
      <c r="AM59" s="84"/>
      <c r="AN59" s="423"/>
      <c r="AO59" s="423"/>
      <c r="AP59" s="423"/>
      <c r="AQ59" s="423"/>
      <c r="AR59" s="423"/>
      <c r="AS59" s="40"/>
      <c r="AT59" s="274"/>
      <c r="AU59" s="84"/>
      <c r="AV59" s="274"/>
      <c r="AW59" s="274"/>
      <c r="AX59" s="274"/>
      <c r="AY59" s="274"/>
      <c r="AZ59" s="274"/>
      <c r="BA59" s="315"/>
      <c r="BB59" s="274"/>
      <c r="BC59" s="84"/>
      <c r="BD59" s="423"/>
      <c r="BE59" s="423"/>
      <c r="BF59" s="423"/>
      <c r="BG59" s="274"/>
      <c r="BH59" s="274"/>
      <c r="BI59" s="315"/>
      <c r="BJ59" s="274"/>
      <c r="BK59" s="84"/>
      <c r="BL59" s="39"/>
      <c r="BM59" s="39"/>
      <c r="BN59" s="39"/>
      <c r="BO59" s="274"/>
      <c r="BP59" s="274"/>
      <c r="BQ59" s="315"/>
      <c r="BR59" s="274"/>
      <c r="BS59" s="84"/>
      <c r="BT59" s="316"/>
      <c r="BV59" s="274"/>
      <c r="BW59" s="315"/>
    </row>
    <row r="60" spans="1:75" x14ac:dyDescent="0.25">
      <c r="A60" s="4"/>
      <c r="B60" s="308" t="s">
        <v>68</v>
      </c>
      <c r="C60" s="274"/>
      <c r="D60" s="274"/>
      <c r="E60" s="484"/>
      <c r="F60" s="274"/>
      <c r="G60" s="322"/>
      <c r="H60" s="430"/>
      <c r="I60" s="430"/>
      <c r="J60" s="430"/>
      <c r="K60" s="430"/>
      <c r="L60" s="430"/>
      <c r="M60" s="647">
        <v>0.99399999999999999</v>
      </c>
      <c r="N60" s="274"/>
      <c r="O60" s="322"/>
      <c r="P60" s="430"/>
      <c r="Q60" s="430"/>
      <c r="R60" s="430"/>
      <c r="S60" s="430"/>
      <c r="T60" s="430"/>
      <c r="U60" s="70">
        <v>0.99399999999999999</v>
      </c>
      <c r="V60" s="483"/>
      <c r="W60" s="322"/>
      <c r="X60" s="430"/>
      <c r="Y60" s="430"/>
      <c r="Z60" s="430"/>
      <c r="AA60" s="430"/>
      <c r="AB60" s="430"/>
      <c r="AC60" s="70">
        <v>0.99399999999999999</v>
      </c>
      <c r="AD60" s="483"/>
      <c r="AE60" s="322"/>
      <c r="AF60" s="430"/>
      <c r="AG60" s="430"/>
      <c r="AH60" s="430"/>
      <c r="AI60" s="430"/>
      <c r="AJ60" s="430"/>
      <c r="AK60" s="70">
        <v>0.99399999999999999</v>
      </c>
      <c r="AL60" s="274"/>
      <c r="AM60" s="322"/>
      <c r="AN60" s="430"/>
      <c r="AO60" s="430"/>
      <c r="AP60" s="430"/>
      <c r="AQ60" s="430"/>
      <c r="AR60" s="430">
        <v>0.99299999999999999</v>
      </c>
      <c r="AS60" s="70"/>
      <c r="AT60" s="274"/>
      <c r="AU60" s="322"/>
      <c r="AV60" s="430"/>
      <c r="AW60" s="274"/>
      <c r="AX60" s="274"/>
      <c r="AY60" s="274"/>
      <c r="AZ60" s="430">
        <v>0.99299999999999999</v>
      </c>
      <c r="BA60" s="315"/>
      <c r="BB60" s="274"/>
      <c r="BC60" s="322"/>
      <c r="BD60" s="430"/>
      <c r="BE60" s="430"/>
      <c r="BF60" s="430"/>
      <c r="BG60" s="274"/>
      <c r="BH60" s="430">
        <v>0.99299999999999999</v>
      </c>
      <c r="BI60" s="315"/>
      <c r="BJ60" s="274"/>
      <c r="BK60" s="322"/>
      <c r="BL60" s="47"/>
      <c r="BM60" s="47"/>
      <c r="BN60" s="47"/>
      <c r="BO60" s="274"/>
      <c r="BP60" s="47">
        <v>0.99199999999999999</v>
      </c>
      <c r="BQ60" s="315"/>
      <c r="BR60" s="274"/>
      <c r="BS60" s="322"/>
      <c r="BT60" s="316"/>
      <c r="BV60" s="47">
        <v>0.98799999999999999</v>
      </c>
      <c r="BW60" s="315"/>
    </row>
    <row r="61" spans="1:75" ht="15.75" thickBot="1" x14ac:dyDescent="0.3">
      <c r="A61" s="4"/>
      <c r="B61" s="334" t="s">
        <v>69</v>
      </c>
      <c r="C61" s="274"/>
      <c r="D61" s="274"/>
      <c r="E61" s="485"/>
      <c r="F61" s="274"/>
      <c r="G61" s="323"/>
      <c r="H61" s="58"/>
      <c r="I61" s="58"/>
      <c r="J61" s="58"/>
      <c r="K61" s="58"/>
      <c r="L61" s="58"/>
      <c r="M61" s="648">
        <v>0.93200000000000005</v>
      </c>
      <c r="N61" s="274"/>
      <c r="O61" s="323"/>
      <c r="P61" s="58"/>
      <c r="Q61" s="58"/>
      <c r="R61" s="58"/>
      <c r="S61" s="58"/>
      <c r="T61" s="58"/>
      <c r="U61" s="73">
        <v>0.93300000000000005</v>
      </c>
      <c r="V61" s="483"/>
      <c r="W61" s="323"/>
      <c r="X61" s="58"/>
      <c r="Y61" s="58"/>
      <c r="Z61" s="58"/>
      <c r="AA61" s="58"/>
      <c r="AB61" s="58"/>
      <c r="AC61" s="73">
        <v>0.877</v>
      </c>
      <c r="AD61" s="483"/>
      <c r="AE61" s="323"/>
      <c r="AF61" s="58"/>
      <c r="AG61" s="58"/>
      <c r="AH61" s="58"/>
      <c r="AI61" s="58"/>
      <c r="AJ61" s="58"/>
      <c r="AK61" s="73">
        <v>0.877</v>
      </c>
      <c r="AL61" s="274"/>
      <c r="AM61" s="323"/>
      <c r="AN61" s="58"/>
      <c r="AO61" s="58"/>
      <c r="AP61" s="58"/>
      <c r="AQ61" s="58"/>
      <c r="AR61" s="58">
        <v>0.876</v>
      </c>
      <c r="AS61" s="73"/>
      <c r="AT61" s="274"/>
      <c r="AU61" s="323"/>
      <c r="AV61" s="58"/>
      <c r="AW61" s="320"/>
      <c r="AX61" s="320"/>
      <c r="AY61" s="320"/>
      <c r="AZ61" s="58">
        <v>0.88</v>
      </c>
      <c r="BA61" s="312"/>
      <c r="BB61" s="274"/>
      <c r="BC61" s="323"/>
      <c r="BD61" s="58"/>
      <c r="BE61" s="58"/>
      <c r="BF61" s="58"/>
      <c r="BG61" s="320"/>
      <c r="BH61" s="58">
        <v>0.93899999999999995</v>
      </c>
      <c r="BI61" s="312"/>
      <c r="BJ61" s="274"/>
      <c r="BK61" s="323"/>
      <c r="BL61" s="58"/>
      <c r="BM61" s="58"/>
      <c r="BN61" s="58"/>
      <c r="BO61" s="320"/>
      <c r="BP61" s="58">
        <v>0.91</v>
      </c>
      <c r="BQ61" s="312"/>
      <c r="BR61" s="274"/>
      <c r="BS61" s="323"/>
      <c r="BT61" s="319"/>
      <c r="BU61" s="320"/>
      <c r="BV61" s="58">
        <v>0.89200000000000002</v>
      </c>
      <c r="BW61" s="312"/>
    </row>
    <row r="62" spans="1:75" x14ac:dyDescent="0.25">
      <c r="A62" s="4"/>
      <c r="BS62" s="311"/>
      <c r="BT62" s="311"/>
      <c r="BU62" s="311"/>
    </row>
    <row r="63" spans="1:75" hidden="1" outlineLevel="1" x14ac:dyDescent="0.25">
      <c r="A63" s="4"/>
      <c r="B63" s="275" t="s">
        <v>37</v>
      </c>
      <c r="C63" s="95"/>
      <c r="D63" s="95"/>
      <c r="E63" s="276">
        <f t="shared" ref="E63" si="45">E17-E18-E19</f>
        <v>0</v>
      </c>
      <c r="F63" s="95"/>
      <c r="G63" s="276">
        <f t="shared" ref="G63:M63" si="46">G17-G18-G19</f>
        <v>0</v>
      </c>
      <c r="H63" s="276">
        <f t="shared" si="46"/>
        <v>0</v>
      </c>
      <c r="I63" s="276">
        <f t="shared" si="46"/>
        <v>0</v>
      </c>
      <c r="J63" s="276">
        <f t="shared" si="46"/>
        <v>0</v>
      </c>
      <c r="K63" s="276">
        <f t="shared" si="46"/>
        <v>0</v>
      </c>
      <c r="L63" s="276">
        <f t="shared" si="46"/>
        <v>0</v>
      </c>
      <c r="M63" s="276">
        <f t="shared" si="46"/>
        <v>0</v>
      </c>
      <c r="N63" s="95"/>
      <c r="O63" s="276">
        <f t="shared" ref="O63:U63" si="47">O17-O18-O19</f>
        <v>0</v>
      </c>
      <c r="P63" s="276">
        <f t="shared" si="47"/>
        <v>0</v>
      </c>
      <c r="Q63" s="276">
        <f t="shared" si="47"/>
        <v>0</v>
      </c>
      <c r="R63" s="276">
        <f t="shared" si="47"/>
        <v>0</v>
      </c>
      <c r="S63" s="276">
        <f t="shared" si="47"/>
        <v>0</v>
      </c>
      <c r="T63" s="276">
        <f t="shared" si="47"/>
        <v>0</v>
      </c>
      <c r="U63" s="276">
        <f t="shared" si="47"/>
        <v>0</v>
      </c>
      <c r="V63" s="95"/>
      <c r="W63" s="276">
        <f t="shared" ref="W63:AC63" si="48">W17-W18-W19</f>
        <v>0</v>
      </c>
      <c r="X63" s="276">
        <f t="shared" si="48"/>
        <v>0</v>
      </c>
      <c r="Y63" s="276">
        <f t="shared" si="48"/>
        <v>0</v>
      </c>
      <c r="Z63" s="276">
        <f t="shared" si="48"/>
        <v>0</v>
      </c>
      <c r="AA63" s="276">
        <f t="shared" si="48"/>
        <v>0</v>
      </c>
      <c r="AB63" s="276">
        <f t="shared" si="48"/>
        <v>0</v>
      </c>
      <c r="AC63" s="276">
        <f t="shared" si="48"/>
        <v>0</v>
      </c>
      <c r="AD63" s="95"/>
      <c r="AE63" s="276">
        <f t="shared" ref="AE63:AK63" si="49">AE17-AE18-AE19</f>
        <v>0</v>
      </c>
      <c r="AF63" s="276">
        <f t="shared" si="49"/>
        <v>0</v>
      </c>
      <c r="AG63" s="276">
        <f t="shared" si="49"/>
        <v>0</v>
      </c>
      <c r="AH63" s="276">
        <f t="shared" si="49"/>
        <v>0</v>
      </c>
      <c r="AI63" s="276">
        <f t="shared" si="49"/>
        <v>0</v>
      </c>
      <c r="AJ63" s="276">
        <f t="shared" si="49"/>
        <v>0</v>
      </c>
      <c r="AK63" s="276">
        <f t="shared" si="49"/>
        <v>0</v>
      </c>
      <c r="AL63" s="95"/>
      <c r="AM63" s="276">
        <f t="shared" ref="AM63:AS63" si="50">AM17-AM18-AM19</f>
        <v>0</v>
      </c>
      <c r="AN63" s="276">
        <f t="shared" si="50"/>
        <v>0</v>
      </c>
      <c r="AO63" s="276">
        <f t="shared" si="50"/>
        <v>0</v>
      </c>
      <c r="AP63" s="276">
        <f t="shared" si="50"/>
        <v>0</v>
      </c>
      <c r="AQ63" s="276">
        <f t="shared" si="50"/>
        <v>0</v>
      </c>
      <c r="AR63" s="276">
        <f t="shared" si="50"/>
        <v>0</v>
      </c>
      <c r="AS63" s="276">
        <f t="shared" si="50"/>
        <v>0</v>
      </c>
      <c r="AT63" s="95"/>
      <c r="AU63" s="276">
        <f t="shared" ref="AU63:BA63" si="51">AU17-AU18-AU19</f>
        <v>0</v>
      </c>
      <c r="AV63" s="276">
        <f t="shared" si="51"/>
        <v>0</v>
      </c>
      <c r="AW63" s="276">
        <f t="shared" si="51"/>
        <v>0</v>
      </c>
      <c r="AX63" s="276">
        <f t="shared" si="51"/>
        <v>0</v>
      </c>
      <c r="AY63" s="276">
        <f t="shared" si="51"/>
        <v>0</v>
      </c>
      <c r="AZ63" s="276">
        <f t="shared" si="51"/>
        <v>0</v>
      </c>
      <c r="BA63" s="276">
        <f t="shared" si="51"/>
        <v>0</v>
      </c>
      <c r="BB63" s="95"/>
      <c r="BC63" s="276">
        <f t="shared" ref="BC63:BI63" si="52">BC17-BC18-BC19</f>
        <v>0</v>
      </c>
      <c r="BD63" s="276">
        <f t="shared" si="52"/>
        <v>0</v>
      </c>
      <c r="BE63" s="276">
        <f t="shared" si="52"/>
        <v>0</v>
      </c>
      <c r="BF63" s="276">
        <f t="shared" si="52"/>
        <v>0</v>
      </c>
      <c r="BG63" s="276">
        <f t="shared" si="52"/>
        <v>0</v>
      </c>
      <c r="BH63" s="276">
        <f t="shared" si="52"/>
        <v>0</v>
      </c>
      <c r="BI63" s="276">
        <f t="shared" si="52"/>
        <v>0</v>
      </c>
      <c r="BJ63" s="95"/>
      <c r="BK63" s="276">
        <f t="shared" ref="BK63:BQ63" si="53">BK17-BK18-BK19</f>
        <v>0</v>
      </c>
      <c r="BL63" s="276">
        <f t="shared" si="53"/>
        <v>0</v>
      </c>
      <c r="BM63" s="276">
        <f t="shared" si="53"/>
        <v>0</v>
      </c>
      <c r="BN63" s="276">
        <f t="shared" si="53"/>
        <v>0</v>
      </c>
      <c r="BO63" s="276">
        <f t="shared" si="53"/>
        <v>0</v>
      </c>
      <c r="BP63" s="276">
        <f t="shared" si="53"/>
        <v>0</v>
      </c>
      <c r="BQ63" s="276">
        <f t="shared" si="53"/>
        <v>0</v>
      </c>
      <c r="BR63" s="95"/>
      <c r="BS63" s="276">
        <f>BS17-BS18-BS19</f>
        <v>0</v>
      </c>
      <c r="BT63" s="276">
        <f>BT17-BT18-BT19</f>
        <v>0</v>
      </c>
      <c r="BU63" s="276">
        <f>BU17-BU18-BU19</f>
        <v>0</v>
      </c>
      <c r="BV63" s="276">
        <f>BV17-BV18-BV19</f>
        <v>0</v>
      </c>
      <c r="BW63" s="276">
        <f>BW17-BW18-BW19</f>
        <v>0</v>
      </c>
    </row>
    <row r="64" spans="1:75" hidden="1" outlineLevel="1" x14ac:dyDescent="0.25">
      <c r="A64" s="4"/>
      <c r="B64" s="277" t="s">
        <v>38</v>
      </c>
      <c r="C64" s="95"/>
      <c r="D64" s="95"/>
      <c r="E64" s="276">
        <f t="shared" ref="E64" si="54">E19-SUM(E20:E23)-E24</f>
        <v>0</v>
      </c>
      <c r="F64" s="95"/>
      <c r="G64" s="276">
        <f t="shared" ref="G64:M64" si="55">G19-SUM(G20:G23)-G24</f>
        <v>0</v>
      </c>
      <c r="H64" s="276">
        <f t="shared" si="55"/>
        <v>0</v>
      </c>
      <c r="I64" s="276">
        <f t="shared" si="55"/>
        <v>0</v>
      </c>
      <c r="J64" s="276">
        <f t="shared" si="55"/>
        <v>0</v>
      </c>
      <c r="K64" s="276">
        <f t="shared" si="55"/>
        <v>0</v>
      </c>
      <c r="L64" s="276">
        <f t="shared" si="55"/>
        <v>0</v>
      </c>
      <c r="M64" s="276">
        <f t="shared" si="55"/>
        <v>0</v>
      </c>
      <c r="N64" s="95"/>
      <c r="O64" s="276">
        <f t="shared" ref="O64:U64" si="56">O19-SUM(O20:O23)-O24</f>
        <v>0</v>
      </c>
      <c r="P64" s="276">
        <f t="shared" si="56"/>
        <v>0</v>
      </c>
      <c r="Q64" s="276">
        <f t="shared" si="56"/>
        <v>0</v>
      </c>
      <c r="R64" s="276">
        <f t="shared" si="56"/>
        <v>0</v>
      </c>
      <c r="S64" s="276">
        <f t="shared" si="56"/>
        <v>0</v>
      </c>
      <c r="T64" s="276">
        <f t="shared" si="56"/>
        <v>0</v>
      </c>
      <c r="U64" s="276">
        <f t="shared" si="56"/>
        <v>0</v>
      </c>
      <c r="V64" s="95"/>
      <c r="W64" s="276">
        <f t="shared" ref="W64:AC64" si="57">W19-SUM(W20:W23)-W24</f>
        <v>0</v>
      </c>
      <c r="X64" s="276">
        <f t="shared" si="57"/>
        <v>0</v>
      </c>
      <c r="Y64" s="276">
        <f t="shared" si="57"/>
        <v>0</v>
      </c>
      <c r="Z64" s="276">
        <f t="shared" si="57"/>
        <v>0</v>
      </c>
      <c r="AA64" s="276">
        <f t="shared" si="57"/>
        <v>0</v>
      </c>
      <c r="AB64" s="276">
        <f t="shared" si="57"/>
        <v>-7.2759576141834259E-12</v>
      </c>
      <c r="AC64" s="276">
        <f t="shared" si="57"/>
        <v>0</v>
      </c>
      <c r="AD64" s="95"/>
      <c r="AE64" s="276">
        <f t="shared" ref="AE64:AK64" si="58">AE19-SUM(AE20:AE23)-AE24</f>
        <v>0</v>
      </c>
      <c r="AF64" s="276">
        <f t="shared" si="58"/>
        <v>0</v>
      </c>
      <c r="AG64" s="276">
        <f t="shared" si="58"/>
        <v>0</v>
      </c>
      <c r="AH64" s="276">
        <f t="shared" si="58"/>
        <v>0</v>
      </c>
      <c r="AI64" s="276">
        <f t="shared" si="58"/>
        <v>0</v>
      </c>
      <c r="AJ64" s="276">
        <f t="shared" si="58"/>
        <v>0</v>
      </c>
      <c r="AK64" s="276">
        <f t="shared" si="58"/>
        <v>0</v>
      </c>
      <c r="AL64" s="95"/>
      <c r="AM64" s="276">
        <f t="shared" ref="AM64:AS64" si="59">AM19-SUM(AM20:AM23)-AM24</f>
        <v>0</v>
      </c>
      <c r="AN64" s="276">
        <f t="shared" si="59"/>
        <v>0</v>
      </c>
      <c r="AO64" s="276">
        <f t="shared" si="59"/>
        <v>0</v>
      </c>
      <c r="AP64" s="276">
        <f t="shared" si="59"/>
        <v>0</v>
      </c>
      <c r="AQ64" s="276">
        <f t="shared" si="59"/>
        <v>0</v>
      </c>
      <c r="AR64" s="276">
        <f t="shared" si="59"/>
        <v>0</v>
      </c>
      <c r="AS64" s="276">
        <f t="shared" si="59"/>
        <v>0</v>
      </c>
      <c r="AT64" s="95"/>
      <c r="AU64" s="276">
        <f t="shared" ref="AU64:BA64" si="60">AU19-SUM(AU20:AU23)-AU24</f>
        <v>0</v>
      </c>
      <c r="AV64" s="276">
        <f t="shared" si="60"/>
        <v>0</v>
      </c>
      <c r="AW64" s="276">
        <f t="shared" si="60"/>
        <v>0</v>
      </c>
      <c r="AX64" s="276">
        <f t="shared" si="60"/>
        <v>0</v>
      </c>
      <c r="AY64" s="276">
        <f t="shared" si="60"/>
        <v>0</v>
      </c>
      <c r="AZ64" s="276">
        <f t="shared" si="60"/>
        <v>0</v>
      </c>
      <c r="BA64" s="276">
        <f t="shared" si="60"/>
        <v>0</v>
      </c>
      <c r="BB64" s="95"/>
      <c r="BC64" s="276">
        <f t="shared" ref="BC64:BI64" si="61">BC19-SUM(BC20:BC23)-BC24</f>
        <v>0</v>
      </c>
      <c r="BD64" s="276">
        <f t="shared" si="61"/>
        <v>0</v>
      </c>
      <c r="BE64" s="276">
        <f t="shared" si="61"/>
        <v>0</v>
      </c>
      <c r="BF64" s="276">
        <f t="shared" si="61"/>
        <v>0</v>
      </c>
      <c r="BG64" s="276">
        <f t="shared" si="61"/>
        <v>0</v>
      </c>
      <c r="BH64" s="276">
        <f t="shared" si="61"/>
        <v>0</v>
      </c>
      <c r="BI64" s="276">
        <f t="shared" si="61"/>
        <v>0</v>
      </c>
      <c r="BJ64" s="95"/>
      <c r="BK64" s="276">
        <f t="shared" ref="BK64:BQ64" si="62">BK19-SUM(BK20:BK23)-BK24</f>
        <v>0</v>
      </c>
      <c r="BL64" s="276">
        <f t="shared" si="62"/>
        <v>0</v>
      </c>
      <c r="BM64" s="276">
        <f t="shared" si="62"/>
        <v>0</v>
      </c>
      <c r="BN64" s="276">
        <f t="shared" si="62"/>
        <v>0</v>
      </c>
      <c r="BO64" s="276">
        <f t="shared" si="62"/>
        <v>0</v>
      </c>
      <c r="BP64" s="276">
        <f t="shared" si="62"/>
        <v>0</v>
      </c>
      <c r="BQ64" s="276">
        <f t="shared" si="62"/>
        <v>0</v>
      </c>
      <c r="BR64" s="95"/>
      <c r="BS64" s="276">
        <f>BS19-SUM(BS20:BS23)-BS24</f>
        <v>0</v>
      </c>
      <c r="BT64" s="276">
        <f>BT19-SUM(BT20:BT23)-BT24</f>
        <v>0</v>
      </c>
      <c r="BU64" s="276">
        <f>BU19-SUM(BU20:BU23)-BU24</f>
        <v>0</v>
      </c>
      <c r="BV64" s="276">
        <f>BV19-SUM(BV20:BV23)-BV24</f>
        <v>0</v>
      </c>
      <c r="BW64" s="276">
        <f>BW19-SUM(BW20:BW23)-BW24</f>
        <v>0</v>
      </c>
    </row>
    <row r="65" spans="1:75" hidden="1" outlineLevel="1" x14ac:dyDescent="0.25">
      <c r="A65" s="4"/>
      <c r="B65" s="277" t="s">
        <v>24</v>
      </c>
      <c r="C65" s="95"/>
      <c r="D65" s="95"/>
      <c r="E65" s="276">
        <f t="shared" ref="E65" si="63">E24-SUM(E25:E28)-E29</f>
        <v>0</v>
      </c>
      <c r="F65" s="95"/>
      <c r="G65" s="276">
        <f t="shared" ref="G65:M65" si="64">G24-SUM(G25:G28)-G29</f>
        <v>0</v>
      </c>
      <c r="H65" s="276">
        <f t="shared" si="64"/>
        <v>0</v>
      </c>
      <c r="I65" s="276">
        <f t="shared" si="64"/>
        <v>0</v>
      </c>
      <c r="J65" s="276">
        <f t="shared" si="64"/>
        <v>0</v>
      </c>
      <c r="K65" s="276">
        <f t="shared" si="64"/>
        <v>0</v>
      </c>
      <c r="L65" s="276">
        <f t="shared" si="64"/>
        <v>0</v>
      </c>
      <c r="M65" s="276">
        <f t="shared" si="64"/>
        <v>0</v>
      </c>
      <c r="N65" s="95"/>
      <c r="O65" s="276">
        <f t="shared" ref="O65:U65" si="65">O24-SUM(O25:O28)-O29</f>
        <v>0</v>
      </c>
      <c r="P65" s="276">
        <f t="shared" si="65"/>
        <v>0</v>
      </c>
      <c r="Q65" s="276">
        <f t="shared" si="65"/>
        <v>0</v>
      </c>
      <c r="R65" s="276">
        <f t="shared" si="65"/>
        <v>0</v>
      </c>
      <c r="S65" s="276">
        <f t="shared" si="65"/>
        <v>0</v>
      </c>
      <c r="T65" s="276">
        <f t="shared" si="65"/>
        <v>0</v>
      </c>
      <c r="U65" s="276">
        <f t="shared" si="65"/>
        <v>0</v>
      </c>
      <c r="V65" s="95"/>
      <c r="W65" s="276">
        <f t="shared" ref="W65:AC65" si="66">W24-SUM(W25:W28)-W29</f>
        <v>0</v>
      </c>
      <c r="X65" s="276">
        <f t="shared" si="66"/>
        <v>0</v>
      </c>
      <c r="Y65" s="276">
        <f t="shared" si="66"/>
        <v>0</v>
      </c>
      <c r="Z65" s="276">
        <f t="shared" si="66"/>
        <v>0</v>
      </c>
      <c r="AA65" s="276">
        <f t="shared" si="66"/>
        <v>0</v>
      </c>
      <c r="AB65" s="276">
        <f t="shared" si="66"/>
        <v>5.4569682106375694E-12</v>
      </c>
      <c r="AC65" s="276">
        <f t="shared" si="66"/>
        <v>0</v>
      </c>
      <c r="AD65" s="95"/>
      <c r="AE65" s="276">
        <f t="shared" ref="AE65:AK65" si="67">AE24-SUM(AE25:AE28)-AE29</f>
        <v>0</v>
      </c>
      <c r="AF65" s="276">
        <f t="shared" si="67"/>
        <v>-0.32300000000032014</v>
      </c>
      <c r="AG65" s="276">
        <f t="shared" si="67"/>
        <v>-0.32300000000032014</v>
      </c>
      <c r="AH65" s="276">
        <f t="shared" si="67"/>
        <v>0.32300000000032014</v>
      </c>
      <c r="AI65" s="276">
        <f t="shared" si="67"/>
        <v>0</v>
      </c>
      <c r="AJ65" s="276">
        <f t="shared" si="67"/>
        <v>0</v>
      </c>
      <c r="AK65" s="276">
        <f t="shared" si="67"/>
        <v>0</v>
      </c>
      <c r="AL65" s="95"/>
      <c r="AM65" s="276">
        <f t="shared" ref="AM65:AS65" si="68">AM24-SUM(AM25:AM28)-AM29</f>
        <v>0</v>
      </c>
      <c r="AN65" s="276">
        <f t="shared" si="68"/>
        <v>0</v>
      </c>
      <c r="AO65" s="276">
        <f t="shared" si="68"/>
        <v>0</v>
      </c>
      <c r="AP65" s="276">
        <f t="shared" si="68"/>
        <v>0</v>
      </c>
      <c r="AQ65" s="276">
        <f t="shared" si="68"/>
        <v>0</v>
      </c>
      <c r="AR65" s="276">
        <f t="shared" si="68"/>
        <v>0</v>
      </c>
      <c r="AS65" s="276">
        <f t="shared" si="68"/>
        <v>0</v>
      </c>
      <c r="AT65" s="95"/>
      <c r="AU65" s="276">
        <f t="shared" ref="AU65:BA65" si="69">AU24-SUM(AU25:AU28)-AU29</f>
        <v>0</v>
      </c>
      <c r="AV65" s="276">
        <f t="shared" si="69"/>
        <v>0</v>
      </c>
      <c r="AW65" s="276">
        <f t="shared" si="69"/>
        <v>0</v>
      </c>
      <c r="AX65" s="276">
        <f t="shared" si="69"/>
        <v>0</v>
      </c>
      <c r="AY65" s="276">
        <f t="shared" si="69"/>
        <v>0</v>
      </c>
      <c r="AZ65" s="276">
        <f t="shared" si="69"/>
        <v>0</v>
      </c>
      <c r="BA65" s="276">
        <f t="shared" si="69"/>
        <v>0</v>
      </c>
      <c r="BB65" s="95"/>
      <c r="BC65" s="276">
        <f t="shared" ref="BC65:BI65" si="70">BC24-SUM(BC25:BC28)-BC29</f>
        <v>0</v>
      </c>
      <c r="BD65" s="276">
        <f t="shared" si="70"/>
        <v>0</v>
      </c>
      <c r="BE65" s="276">
        <f t="shared" si="70"/>
        <v>0</v>
      </c>
      <c r="BF65" s="276">
        <f t="shared" si="70"/>
        <v>0</v>
      </c>
      <c r="BG65" s="276">
        <f t="shared" si="70"/>
        <v>0</v>
      </c>
      <c r="BH65" s="276">
        <f t="shared" si="70"/>
        <v>0</v>
      </c>
      <c r="BI65" s="276">
        <f t="shared" si="70"/>
        <v>0</v>
      </c>
      <c r="BJ65" s="95"/>
      <c r="BK65" s="276">
        <f t="shared" ref="BK65:BQ65" si="71">BK24-SUM(BK25:BK28)-BK29</f>
        <v>0</v>
      </c>
      <c r="BL65" s="276">
        <f t="shared" si="71"/>
        <v>0</v>
      </c>
      <c r="BM65" s="276">
        <f t="shared" si="71"/>
        <v>0</v>
      </c>
      <c r="BN65" s="276">
        <f t="shared" si="71"/>
        <v>0</v>
      </c>
      <c r="BO65" s="276">
        <f t="shared" si="71"/>
        <v>0</v>
      </c>
      <c r="BP65" s="276">
        <f t="shared" si="71"/>
        <v>0</v>
      </c>
      <c r="BQ65" s="276">
        <f t="shared" si="71"/>
        <v>0</v>
      </c>
      <c r="BR65" s="95"/>
      <c r="BS65" s="276">
        <f>BS24-SUM(BS25:BS28)-BS29</f>
        <v>0</v>
      </c>
      <c r="BT65" s="276">
        <f>BT24-SUM(BT25:BT28)-BT29</f>
        <v>0</v>
      </c>
      <c r="BU65" s="276">
        <f>BU24-SUM(BU25:BU28)-BU29</f>
        <v>0</v>
      </c>
      <c r="BV65" s="276">
        <f>BV24-SUM(BV25:BV28)-BV29</f>
        <v>0</v>
      </c>
      <c r="BW65" s="276">
        <f>BW24-SUM(BW25:BW28)-BW29</f>
        <v>0</v>
      </c>
    </row>
    <row r="66" spans="1:75" hidden="1" outlineLevel="1" x14ac:dyDescent="0.25">
      <c r="A66" s="4"/>
      <c r="B66" s="277" t="s">
        <v>57</v>
      </c>
      <c r="C66" s="95"/>
      <c r="D66" s="95"/>
      <c r="E66" s="276">
        <f t="shared" ref="E66" si="72">SUM(E29:E35)-E36</f>
        <v>0</v>
      </c>
      <c r="F66" s="95"/>
      <c r="G66" s="276">
        <f t="shared" ref="G66:H66" si="73">SUM(G29:G35)-G36</f>
        <v>0</v>
      </c>
      <c r="H66" s="276">
        <f t="shared" si="73"/>
        <v>0</v>
      </c>
      <c r="I66" s="276">
        <f t="shared" ref="I66" si="74">SUM(I29:I35)-I36</f>
        <v>0</v>
      </c>
      <c r="J66" s="276">
        <f t="shared" ref="J66:M66" si="75">SUM(J29:J35)-J36</f>
        <v>0</v>
      </c>
      <c r="K66" s="276">
        <f t="shared" si="75"/>
        <v>0</v>
      </c>
      <c r="L66" s="276">
        <f t="shared" si="75"/>
        <v>0</v>
      </c>
      <c r="M66" s="276">
        <f t="shared" si="75"/>
        <v>0</v>
      </c>
      <c r="N66" s="95"/>
      <c r="O66" s="276">
        <f t="shared" ref="O66:P66" si="76">SUM(O29:O35)-O36</f>
        <v>0</v>
      </c>
      <c r="P66" s="276">
        <f t="shared" si="76"/>
        <v>0</v>
      </c>
      <c r="Q66" s="276">
        <f t="shared" ref="Q66" si="77">SUM(Q29:Q35)-Q36</f>
        <v>0</v>
      </c>
      <c r="R66" s="276">
        <f t="shared" ref="R66:U66" si="78">SUM(R29:R35)-R36</f>
        <v>0</v>
      </c>
      <c r="S66" s="276">
        <f t="shared" si="78"/>
        <v>0</v>
      </c>
      <c r="T66" s="276">
        <f t="shared" si="78"/>
        <v>0</v>
      </c>
      <c r="U66" s="276">
        <f t="shared" si="78"/>
        <v>0</v>
      </c>
      <c r="V66" s="95"/>
      <c r="W66" s="276">
        <f t="shared" ref="W66:AC66" si="79">SUM(W29:W35)-W36</f>
        <v>0</v>
      </c>
      <c r="X66" s="276">
        <f t="shared" si="79"/>
        <v>0</v>
      </c>
      <c r="Y66" s="276">
        <f t="shared" ref="Y66" si="80">SUM(Y29:Y35)-Y36</f>
        <v>0</v>
      </c>
      <c r="Z66" s="276">
        <f t="shared" si="79"/>
        <v>0</v>
      </c>
      <c r="AA66" s="276">
        <f t="shared" si="79"/>
        <v>0</v>
      </c>
      <c r="AB66" s="276">
        <f t="shared" si="79"/>
        <v>7.2999999999410647E-2</v>
      </c>
      <c r="AC66" s="276">
        <f t="shared" si="79"/>
        <v>7.2999999996682163E-2</v>
      </c>
      <c r="AD66" s="95"/>
      <c r="AE66" s="276">
        <f t="shared" ref="AE66:AK66" si="81">SUM(AE29:AE35)-AE36</f>
        <v>0</v>
      </c>
      <c r="AF66" s="276">
        <f t="shared" si="81"/>
        <v>0</v>
      </c>
      <c r="AG66" s="276">
        <f t="shared" si="81"/>
        <v>0</v>
      </c>
      <c r="AH66" s="276">
        <f t="shared" si="81"/>
        <v>0</v>
      </c>
      <c r="AI66" s="276">
        <f t="shared" si="81"/>
        <v>0</v>
      </c>
      <c r="AJ66" s="276">
        <f t="shared" si="81"/>
        <v>0</v>
      </c>
      <c r="AK66" s="276">
        <f t="shared" si="81"/>
        <v>0</v>
      </c>
      <c r="AL66" s="95"/>
      <c r="AM66" s="276">
        <f t="shared" ref="AM66:AS66" si="82">SUM(AM29:AM35)-AM36</f>
        <v>0</v>
      </c>
      <c r="AN66" s="276">
        <f t="shared" si="82"/>
        <v>0</v>
      </c>
      <c r="AO66" s="276">
        <f t="shared" si="82"/>
        <v>0</v>
      </c>
      <c r="AP66" s="276">
        <f t="shared" si="82"/>
        <v>0</v>
      </c>
      <c r="AQ66" s="276">
        <f t="shared" si="82"/>
        <v>0</v>
      </c>
      <c r="AR66" s="276">
        <f t="shared" si="82"/>
        <v>0</v>
      </c>
      <c r="AS66" s="276">
        <f t="shared" si="82"/>
        <v>0</v>
      </c>
      <c r="AT66" s="95"/>
      <c r="AU66" s="276">
        <f t="shared" ref="AU66:BA66" si="83">SUM(AU29:AU35)-AU36</f>
        <v>0</v>
      </c>
      <c r="AV66" s="276">
        <f t="shared" si="83"/>
        <v>0</v>
      </c>
      <c r="AW66" s="276">
        <f t="shared" si="83"/>
        <v>0</v>
      </c>
      <c r="AX66" s="276">
        <f t="shared" si="83"/>
        <v>0</v>
      </c>
      <c r="AY66" s="276">
        <f t="shared" si="83"/>
        <v>0</v>
      </c>
      <c r="AZ66" s="276">
        <f t="shared" si="83"/>
        <v>0</v>
      </c>
      <c r="BA66" s="276">
        <f t="shared" si="83"/>
        <v>0</v>
      </c>
      <c r="BB66" s="95"/>
      <c r="BC66" s="276">
        <f t="shared" ref="BC66:BI66" si="84">SUM(BC29:BC35)-BC36</f>
        <v>0</v>
      </c>
      <c r="BD66" s="276">
        <f t="shared" si="84"/>
        <v>0</v>
      </c>
      <c r="BE66" s="276">
        <f t="shared" si="84"/>
        <v>0</v>
      </c>
      <c r="BF66" s="276">
        <f t="shared" si="84"/>
        <v>0</v>
      </c>
      <c r="BG66" s="276">
        <f t="shared" si="84"/>
        <v>0</v>
      </c>
      <c r="BH66" s="276">
        <f t="shared" si="84"/>
        <v>0</v>
      </c>
      <c r="BI66" s="276">
        <f t="shared" si="84"/>
        <v>0</v>
      </c>
      <c r="BJ66" s="95"/>
      <c r="BK66" s="276">
        <f t="shared" ref="BK66:BQ66" si="85">SUM(BK29:BK35)-BK36</f>
        <v>0</v>
      </c>
      <c r="BL66" s="276">
        <f t="shared" si="85"/>
        <v>0</v>
      </c>
      <c r="BM66" s="276">
        <f t="shared" si="85"/>
        <v>0</v>
      </c>
      <c r="BN66" s="276">
        <f t="shared" si="85"/>
        <v>0</v>
      </c>
      <c r="BO66" s="276">
        <f t="shared" si="85"/>
        <v>0</v>
      </c>
      <c r="BP66" s="276">
        <f t="shared" si="85"/>
        <v>0</v>
      </c>
      <c r="BQ66" s="276">
        <f t="shared" si="85"/>
        <v>0</v>
      </c>
      <c r="BR66" s="95"/>
      <c r="BS66" s="276">
        <f>SUM(BS29:BS35)-BS36</f>
        <v>0</v>
      </c>
      <c r="BT66" s="276">
        <f>SUM(BT29:BT35)-BT36</f>
        <v>0</v>
      </c>
      <c r="BU66" s="276">
        <f>SUM(BU29:BU35)-BU36</f>
        <v>0</v>
      </c>
      <c r="BV66" s="276">
        <f>SUM(BV29:BV35)-BV36</f>
        <v>0</v>
      </c>
      <c r="BW66" s="276">
        <f>SUM(BW29:BW35)-BW36</f>
        <v>0</v>
      </c>
    </row>
    <row r="67" spans="1:75" hidden="1" outlineLevel="1" x14ac:dyDescent="0.25">
      <c r="A67" s="4"/>
      <c r="B67" s="277" t="s">
        <v>147</v>
      </c>
      <c r="C67" s="95"/>
      <c r="D67" s="95"/>
      <c r="E67" s="276">
        <f t="shared" ref="E67" si="86">SUM(E36:E43)-E44</f>
        <v>0</v>
      </c>
      <c r="F67" s="95"/>
      <c r="G67" s="276">
        <f t="shared" ref="G67:H67" si="87">SUM(G36:G43)-G44</f>
        <v>0</v>
      </c>
      <c r="H67" s="276">
        <f t="shared" si="87"/>
        <v>0</v>
      </c>
      <c r="I67" s="276">
        <f t="shared" ref="I67" si="88">SUM(I36:I43)-I44</f>
        <v>0</v>
      </c>
      <c r="J67" s="276">
        <f t="shared" ref="J67:M67" si="89">SUM(J36:J43)-J44</f>
        <v>0</v>
      </c>
      <c r="K67" s="276">
        <f t="shared" si="89"/>
        <v>0</v>
      </c>
      <c r="L67" s="276">
        <f t="shared" si="89"/>
        <v>0</v>
      </c>
      <c r="M67" s="276">
        <f t="shared" si="89"/>
        <v>0</v>
      </c>
      <c r="N67" s="95"/>
      <c r="O67" s="276">
        <f t="shared" ref="O67:P67" si="90">SUM(O36:O43)-O44</f>
        <v>0</v>
      </c>
      <c r="P67" s="276">
        <f t="shared" si="90"/>
        <v>0</v>
      </c>
      <c r="Q67" s="276">
        <f t="shared" ref="Q67" si="91">SUM(Q36:Q43)-Q44</f>
        <v>0</v>
      </c>
      <c r="R67" s="276">
        <f t="shared" ref="R67:U67" si="92">SUM(R36:R43)-R44</f>
        <v>0</v>
      </c>
      <c r="S67" s="276">
        <f t="shared" si="92"/>
        <v>0</v>
      </c>
      <c r="T67" s="276">
        <f t="shared" si="92"/>
        <v>0</v>
      </c>
      <c r="U67" s="276">
        <f t="shared" si="92"/>
        <v>0</v>
      </c>
      <c r="V67" s="95"/>
      <c r="W67" s="276">
        <f t="shared" ref="W67:AC67" si="93">SUM(W36:W43)-W44</f>
        <v>0</v>
      </c>
      <c r="X67" s="276">
        <f t="shared" si="93"/>
        <v>0</v>
      </c>
      <c r="Y67" s="276">
        <f t="shared" ref="Y67" si="94">SUM(Y36:Y43)-Y44</f>
        <v>0</v>
      </c>
      <c r="Z67" s="276">
        <f t="shared" si="93"/>
        <v>0</v>
      </c>
      <c r="AA67" s="276">
        <f t="shared" si="93"/>
        <v>0</v>
      </c>
      <c r="AB67" s="276">
        <f t="shared" si="93"/>
        <v>0</v>
      </c>
      <c r="AC67" s="276">
        <f t="shared" si="93"/>
        <v>0</v>
      </c>
      <c r="AD67" s="95"/>
      <c r="AE67" s="276">
        <f t="shared" ref="AE67:AK67" si="95">SUM(AE36:AE43)-AE44</f>
        <v>0</v>
      </c>
      <c r="AF67" s="276">
        <f t="shared" si="95"/>
        <v>0</v>
      </c>
      <c r="AG67" s="276">
        <f t="shared" si="95"/>
        <v>0</v>
      </c>
      <c r="AH67" s="276">
        <f t="shared" si="95"/>
        <v>0</v>
      </c>
      <c r="AI67" s="276">
        <f t="shared" si="95"/>
        <v>0</v>
      </c>
      <c r="AJ67" s="276">
        <f t="shared" si="95"/>
        <v>0</v>
      </c>
      <c r="AK67" s="276">
        <f t="shared" si="95"/>
        <v>0</v>
      </c>
      <c r="AL67" s="95"/>
      <c r="AM67" s="276">
        <f t="shared" ref="AM67:AS67" si="96">SUM(AM36:AM43)-AM44</f>
        <v>0</v>
      </c>
      <c r="AN67" s="276">
        <f t="shared" si="96"/>
        <v>0</v>
      </c>
      <c r="AO67" s="276">
        <f t="shared" si="96"/>
        <v>0</v>
      </c>
      <c r="AP67" s="276">
        <f t="shared" si="96"/>
        <v>0</v>
      </c>
      <c r="AQ67" s="276">
        <f t="shared" si="96"/>
        <v>0</v>
      </c>
      <c r="AR67" s="276">
        <f t="shared" si="96"/>
        <v>0</v>
      </c>
      <c r="AS67" s="276">
        <f t="shared" si="96"/>
        <v>0</v>
      </c>
      <c r="AT67" s="95"/>
      <c r="AU67" s="276">
        <f t="shared" ref="AU67:BA67" si="97">SUM(AU36:AU43)-AU44</f>
        <v>0</v>
      </c>
      <c r="AV67" s="276">
        <f t="shared" si="97"/>
        <v>0</v>
      </c>
      <c r="AW67" s="276">
        <f t="shared" si="97"/>
        <v>0</v>
      </c>
      <c r="AX67" s="276">
        <f t="shared" si="97"/>
        <v>0</v>
      </c>
      <c r="AY67" s="276">
        <f t="shared" si="97"/>
        <v>0</v>
      </c>
      <c r="AZ67" s="276">
        <f t="shared" si="97"/>
        <v>0</v>
      </c>
      <c r="BA67" s="276">
        <f t="shared" si="97"/>
        <v>0</v>
      </c>
      <c r="BB67" s="95"/>
      <c r="BC67" s="276">
        <f t="shared" ref="BC67:BI67" si="98">SUM(BC36:BC43)-BC44</f>
        <v>0</v>
      </c>
      <c r="BD67" s="276">
        <f t="shared" si="98"/>
        <v>0</v>
      </c>
      <c r="BE67" s="276">
        <f t="shared" si="98"/>
        <v>0</v>
      </c>
      <c r="BF67" s="276">
        <f t="shared" si="98"/>
        <v>0</v>
      </c>
      <c r="BG67" s="276">
        <f t="shared" si="98"/>
        <v>0</v>
      </c>
      <c r="BH67" s="276">
        <f t="shared" si="98"/>
        <v>0</v>
      </c>
      <c r="BI67" s="276">
        <f t="shared" si="98"/>
        <v>0</v>
      </c>
      <c r="BJ67" s="95"/>
      <c r="BK67" s="276">
        <f t="shared" ref="BK67:BQ67" si="99">SUM(BK36:BK43)-BK44</f>
        <v>0</v>
      </c>
      <c r="BL67" s="276">
        <f t="shared" si="99"/>
        <v>0</v>
      </c>
      <c r="BM67" s="276">
        <f t="shared" si="99"/>
        <v>0</v>
      </c>
      <c r="BN67" s="276">
        <f t="shared" si="99"/>
        <v>0</v>
      </c>
      <c r="BO67" s="276">
        <f t="shared" si="99"/>
        <v>0</v>
      </c>
      <c r="BP67" s="276">
        <f t="shared" si="99"/>
        <v>0</v>
      </c>
      <c r="BQ67" s="276">
        <f t="shared" si="99"/>
        <v>0</v>
      </c>
      <c r="BR67" s="95"/>
      <c r="BS67" s="276">
        <f>SUM(BS36:BS43)-BS44</f>
        <v>0</v>
      </c>
      <c r="BT67" s="276">
        <f>SUM(BT36:BT43)-BT44</f>
        <v>0</v>
      </c>
      <c r="BU67" s="276">
        <f>SUM(BU36:BU43)-BU44</f>
        <v>0</v>
      </c>
      <c r="BV67" s="276">
        <f>SUM(BV36:BV43)-BV44</f>
        <v>0</v>
      </c>
      <c r="BW67" s="276">
        <f>SUM(BW36:BW43)-BW44</f>
        <v>0</v>
      </c>
    </row>
    <row r="68" spans="1:75" hidden="1" outlineLevel="1" x14ac:dyDescent="0.25">
      <c r="A68" s="4"/>
      <c r="B68" s="277" t="s">
        <v>39</v>
      </c>
      <c r="C68" s="95"/>
      <c r="D68" s="95"/>
      <c r="E68" s="276">
        <f>SUM(E49:E50)-E51</f>
        <v>0</v>
      </c>
      <c r="F68" s="95"/>
      <c r="G68" s="276">
        <f t="shared" ref="G68:H68" si="100">SUM(G49:G50)-G51</f>
        <v>0</v>
      </c>
      <c r="H68" s="276">
        <f t="shared" si="100"/>
        <v>0</v>
      </c>
      <c r="I68" s="276">
        <f t="shared" ref="I68" si="101">SUM(I49:I50)-I51</f>
        <v>0</v>
      </c>
      <c r="J68" s="276">
        <f t="shared" ref="J68:M68" si="102">SUM(J49:J50)-J51</f>
        <v>0</v>
      </c>
      <c r="K68" s="276">
        <f t="shared" si="102"/>
        <v>0</v>
      </c>
      <c r="L68" s="276">
        <f t="shared" si="102"/>
        <v>0</v>
      </c>
      <c r="M68" s="276">
        <f t="shared" si="102"/>
        <v>0</v>
      </c>
      <c r="N68" s="95"/>
      <c r="O68" s="276">
        <f t="shared" ref="O68:P68" si="103">SUM(O49:O50)-O51</f>
        <v>0</v>
      </c>
      <c r="P68" s="276">
        <f t="shared" si="103"/>
        <v>0</v>
      </c>
      <c r="Q68" s="276">
        <f t="shared" ref="Q68" si="104">SUM(Q49:Q50)-Q51</f>
        <v>0</v>
      </c>
      <c r="R68" s="276">
        <f t="shared" ref="R68:U68" si="105">SUM(R49:R50)-R51</f>
        <v>0</v>
      </c>
      <c r="S68" s="276">
        <f t="shared" si="105"/>
        <v>0</v>
      </c>
      <c r="T68" s="276">
        <f t="shared" si="105"/>
        <v>0</v>
      </c>
      <c r="U68" s="276">
        <f t="shared" si="105"/>
        <v>0</v>
      </c>
      <c r="V68" s="95"/>
      <c r="W68" s="276">
        <f t="shared" ref="W68:AC68" si="106">SUM(W49:W50)-W51</f>
        <v>0</v>
      </c>
      <c r="X68" s="276">
        <f t="shared" si="106"/>
        <v>0</v>
      </c>
      <c r="Y68" s="276">
        <f t="shared" ref="Y68" si="107">SUM(Y49:Y50)-Y51</f>
        <v>0</v>
      </c>
      <c r="Z68" s="276">
        <f t="shared" si="106"/>
        <v>0</v>
      </c>
      <c r="AA68" s="276">
        <f t="shared" si="106"/>
        <v>0</v>
      </c>
      <c r="AB68" s="276">
        <f t="shared" si="106"/>
        <v>0</v>
      </c>
      <c r="AC68" s="276">
        <f t="shared" si="106"/>
        <v>0</v>
      </c>
      <c r="AD68" s="95"/>
      <c r="AE68" s="276">
        <f t="shared" ref="AE68:AK68" si="108">SUM(AE49:AE50)-AE51</f>
        <v>0</v>
      </c>
      <c r="AF68" s="276">
        <f t="shared" si="108"/>
        <v>0</v>
      </c>
      <c r="AG68" s="276">
        <f t="shared" si="108"/>
        <v>0</v>
      </c>
      <c r="AH68" s="276">
        <f t="shared" si="108"/>
        <v>0</v>
      </c>
      <c r="AI68" s="276">
        <f t="shared" si="108"/>
        <v>0</v>
      </c>
      <c r="AJ68" s="276">
        <f t="shared" si="108"/>
        <v>0</v>
      </c>
      <c r="AK68" s="276">
        <f t="shared" si="108"/>
        <v>0</v>
      </c>
      <c r="AL68" s="95"/>
      <c r="AM68" s="276">
        <f>SUM(AM49:AM50)-AM51</f>
        <v>0</v>
      </c>
      <c r="AN68" s="276">
        <f t="shared" ref="AN68:AS68" si="109">SUM(AN49:AN50)-AN51</f>
        <v>0</v>
      </c>
      <c r="AO68" s="276">
        <f t="shared" si="109"/>
        <v>0</v>
      </c>
      <c r="AP68" s="276">
        <f t="shared" si="109"/>
        <v>0</v>
      </c>
      <c r="AQ68" s="276">
        <f t="shared" si="109"/>
        <v>0</v>
      </c>
      <c r="AR68" s="276">
        <f t="shared" si="109"/>
        <v>0</v>
      </c>
      <c r="AS68" s="276">
        <f t="shared" si="109"/>
        <v>0</v>
      </c>
      <c r="AT68" s="95"/>
      <c r="AU68" s="276">
        <f>SUM(AU49:AU50)-AU51</f>
        <v>0</v>
      </c>
      <c r="AV68" s="276">
        <f t="shared" ref="AV68:BA68" si="110">SUM(AV49:AV50)-AV51</f>
        <v>0</v>
      </c>
      <c r="AW68" s="276">
        <f t="shared" si="110"/>
        <v>0</v>
      </c>
      <c r="AX68" s="276">
        <f t="shared" si="110"/>
        <v>0</v>
      </c>
      <c r="AY68" s="276">
        <f t="shared" si="110"/>
        <v>0</v>
      </c>
      <c r="AZ68" s="276">
        <f t="shared" si="110"/>
        <v>0</v>
      </c>
      <c r="BA68" s="276">
        <f t="shared" si="110"/>
        <v>0</v>
      </c>
      <c r="BB68" s="95"/>
      <c r="BC68" s="276">
        <f>SUM(BC49:BC50)-BC51</f>
        <v>0</v>
      </c>
      <c r="BD68" s="276">
        <f t="shared" ref="BD68:BI68" si="111">SUM(BD49:BD50)-BD51</f>
        <v>0</v>
      </c>
      <c r="BE68" s="276">
        <f t="shared" si="111"/>
        <v>0</v>
      </c>
      <c r="BF68" s="276">
        <f t="shared" si="111"/>
        <v>0</v>
      </c>
      <c r="BG68" s="276">
        <f t="shared" si="111"/>
        <v>0</v>
      </c>
      <c r="BH68" s="276">
        <f t="shared" si="111"/>
        <v>0</v>
      </c>
      <c r="BI68" s="276">
        <f t="shared" si="111"/>
        <v>0</v>
      </c>
      <c r="BJ68" s="95"/>
      <c r="BK68" s="276">
        <f>SUM(BK49:BK50)-BK51</f>
        <v>0</v>
      </c>
      <c r="BL68" s="276">
        <f t="shared" ref="BL68:BQ68" si="112">SUM(BL49:BL50)-BL51</f>
        <v>0</v>
      </c>
      <c r="BM68" s="276">
        <f t="shared" si="112"/>
        <v>0</v>
      </c>
      <c r="BN68" s="276">
        <f t="shared" si="112"/>
        <v>0</v>
      </c>
      <c r="BO68" s="276">
        <f t="shared" si="112"/>
        <v>0</v>
      </c>
      <c r="BP68" s="276">
        <f t="shared" si="112"/>
        <v>0</v>
      </c>
      <c r="BQ68" s="276">
        <f t="shared" si="112"/>
        <v>0</v>
      </c>
      <c r="BR68" s="95"/>
      <c r="BS68" s="276">
        <f>SUM(BS49:BS50)-BS51</f>
        <v>0</v>
      </c>
      <c r="BT68" s="276">
        <f t="shared" ref="BT68:BW68" si="113">SUM(BT49:BT50)-BT51</f>
        <v>0</v>
      </c>
      <c r="BU68" s="276">
        <f t="shared" si="113"/>
        <v>0</v>
      </c>
      <c r="BV68" s="276">
        <f t="shared" si="113"/>
        <v>0</v>
      </c>
      <c r="BW68" s="276">
        <f t="shared" si="113"/>
        <v>0</v>
      </c>
    </row>
    <row r="69" spans="1:75" hidden="1" outlineLevel="1" x14ac:dyDescent="0.25">
      <c r="A69" s="4"/>
      <c r="B69" s="277" t="s">
        <v>40</v>
      </c>
      <c r="C69" s="95"/>
      <c r="D69" s="95"/>
      <c r="E69" s="276">
        <f t="shared" ref="E69" si="114">E47-E51-E53</f>
        <v>-1.6000009418348782E-4</v>
      </c>
      <c r="F69" s="95"/>
      <c r="G69" s="276">
        <f t="shared" ref="G69:M69" si="115">G47-G51-G53</f>
        <v>-1.6000009054550901E-4</v>
      </c>
      <c r="H69" s="276">
        <f t="shared" si="115"/>
        <v>0</v>
      </c>
      <c r="I69" s="276">
        <f t="shared" si="115"/>
        <v>-1.600000832695514E-4</v>
      </c>
      <c r="J69" s="276">
        <f t="shared" si="115"/>
        <v>0</v>
      </c>
      <c r="K69" s="276">
        <f t="shared" si="115"/>
        <v>-1.6000009054550901E-4</v>
      </c>
      <c r="L69" s="276">
        <f t="shared" si="115"/>
        <v>0</v>
      </c>
      <c r="M69" s="276">
        <f t="shared" si="115"/>
        <v>-1.600000832695514E-4</v>
      </c>
      <c r="N69" s="95"/>
      <c r="O69" s="276">
        <f t="shared" ref="O69:U69" si="116">O47-O51-O53</f>
        <v>0</v>
      </c>
      <c r="P69" s="276">
        <f t="shared" si="116"/>
        <v>0</v>
      </c>
      <c r="Q69" s="276">
        <f t="shared" si="116"/>
        <v>0</v>
      </c>
      <c r="R69" s="276">
        <f t="shared" si="116"/>
        <v>0</v>
      </c>
      <c r="S69" s="276">
        <f t="shared" si="116"/>
        <v>0</v>
      </c>
      <c r="T69" s="276">
        <f t="shared" si="116"/>
        <v>0</v>
      </c>
      <c r="U69" s="276">
        <f t="shared" si="116"/>
        <v>0</v>
      </c>
      <c r="V69" s="95"/>
      <c r="W69" s="276">
        <f t="shared" ref="W69:AC69" si="117">W47-W51-W53</f>
        <v>0</v>
      </c>
      <c r="X69" s="276">
        <f t="shared" si="117"/>
        <v>0</v>
      </c>
      <c r="Y69" s="276">
        <f t="shared" ref="Y69" si="118">Y47-Y51-Y53</f>
        <v>0</v>
      </c>
      <c r="Z69" s="276">
        <f t="shared" si="117"/>
        <v>0</v>
      </c>
      <c r="AA69" s="276">
        <f t="shared" si="117"/>
        <v>2.8399998845998198E-3</v>
      </c>
      <c r="AB69" s="276">
        <f t="shared" si="117"/>
        <v>0</v>
      </c>
      <c r="AC69" s="276">
        <f t="shared" si="117"/>
        <v>-1.600000832695514E-4</v>
      </c>
      <c r="AD69" s="95"/>
      <c r="AE69" s="276">
        <f t="shared" ref="AE69:AK69" si="119">AE47-AE51-AE53</f>
        <v>0</v>
      </c>
      <c r="AF69" s="276">
        <f t="shared" si="119"/>
        <v>0</v>
      </c>
      <c r="AG69" s="276">
        <f t="shared" si="119"/>
        <v>0</v>
      </c>
      <c r="AH69" s="276">
        <f t="shared" si="119"/>
        <v>0</v>
      </c>
      <c r="AI69" s="276">
        <f t="shared" si="119"/>
        <v>0</v>
      </c>
      <c r="AJ69" s="276">
        <f t="shared" si="119"/>
        <v>0</v>
      </c>
      <c r="AK69" s="276">
        <f t="shared" si="119"/>
        <v>0</v>
      </c>
      <c r="AL69" s="95"/>
      <c r="AM69" s="276">
        <f>AM47-AM51-AM53</f>
        <v>0</v>
      </c>
      <c r="AN69" s="276">
        <f t="shared" ref="AN69:AS69" si="120">AN47-AN51-AN53</f>
        <v>0</v>
      </c>
      <c r="AO69" s="276">
        <f t="shared" si="120"/>
        <v>0</v>
      </c>
      <c r="AP69" s="276">
        <f t="shared" si="120"/>
        <v>0</v>
      </c>
      <c r="AQ69" s="276">
        <f t="shared" si="120"/>
        <v>0</v>
      </c>
      <c r="AR69" s="276">
        <f t="shared" si="120"/>
        <v>0</v>
      </c>
      <c r="AS69" s="276">
        <f t="shared" si="120"/>
        <v>0</v>
      </c>
      <c r="AT69" s="95"/>
      <c r="AU69" s="276">
        <f>AU47-AU51-AU53</f>
        <v>0</v>
      </c>
      <c r="AV69" s="276">
        <f t="shared" ref="AV69:BA69" si="121">AV47-AV51-AV53</f>
        <v>0</v>
      </c>
      <c r="AW69" s="276">
        <f t="shared" si="121"/>
        <v>0</v>
      </c>
      <c r="AX69" s="276">
        <f t="shared" si="121"/>
        <v>0</v>
      </c>
      <c r="AY69" s="276">
        <f t="shared" si="121"/>
        <v>0</v>
      </c>
      <c r="AZ69" s="276">
        <f t="shared" si="121"/>
        <v>0</v>
      </c>
      <c r="BA69" s="276">
        <f t="shared" si="121"/>
        <v>0</v>
      </c>
      <c r="BB69" s="95"/>
      <c r="BC69" s="276">
        <f>BC47-BC51-BC53</f>
        <v>0</v>
      </c>
      <c r="BD69" s="276">
        <f t="shared" ref="BD69:BI69" si="122">BD47-BD51-BD53</f>
        <v>0</v>
      </c>
      <c r="BE69" s="276">
        <f t="shared" si="122"/>
        <v>0</v>
      </c>
      <c r="BF69" s="276">
        <f t="shared" si="122"/>
        <v>0</v>
      </c>
      <c r="BG69" s="276">
        <f t="shared" si="122"/>
        <v>0</v>
      </c>
      <c r="BH69" s="276">
        <f t="shared" si="122"/>
        <v>0</v>
      </c>
      <c r="BI69" s="276">
        <f t="shared" si="122"/>
        <v>0</v>
      </c>
      <c r="BJ69" s="95"/>
      <c r="BK69" s="276">
        <f>BK47-BK51-BK53</f>
        <v>0</v>
      </c>
      <c r="BL69" s="276">
        <f t="shared" ref="BL69:BQ69" si="123">BL47-BL51-BL53</f>
        <v>0</v>
      </c>
      <c r="BM69" s="276">
        <f t="shared" si="123"/>
        <v>0</v>
      </c>
      <c r="BN69" s="276">
        <f t="shared" si="123"/>
        <v>0</v>
      </c>
      <c r="BO69" s="276">
        <f t="shared" si="123"/>
        <v>0</v>
      </c>
      <c r="BP69" s="276">
        <f t="shared" si="123"/>
        <v>0</v>
      </c>
      <c r="BQ69" s="276">
        <f t="shared" si="123"/>
        <v>0</v>
      </c>
      <c r="BR69" s="95"/>
      <c r="BS69" s="276">
        <f>BS47-BS51-BS53</f>
        <v>0</v>
      </c>
      <c r="BT69" s="276">
        <f t="shared" ref="BT69:BW69" si="124">BT47-BT51-BT53</f>
        <v>0</v>
      </c>
      <c r="BU69" s="276">
        <f t="shared" si="124"/>
        <v>0</v>
      </c>
      <c r="BV69" s="276">
        <f t="shared" si="124"/>
        <v>0</v>
      </c>
      <c r="BW69" s="276">
        <f t="shared" si="124"/>
        <v>0</v>
      </c>
    </row>
    <row r="70" spans="1:75" collapsed="1" x14ac:dyDescent="0.25">
      <c r="A70" s="95"/>
      <c r="BT70" s="311"/>
      <c r="BU70" s="311"/>
    </row>
    <row r="71" spans="1:75" x14ac:dyDescent="0.25">
      <c r="A71" s="4"/>
      <c r="BT71" s="311"/>
      <c r="BU71" s="311"/>
    </row>
    <row r="72" spans="1:75" x14ac:dyDescent="0.25">
      <c r="A72" s="4"/>
      <c r="BT72" s="311"/>
      <c r="BU72" s="311"/>
    </row>
    <row r="73" spans="1:75" x14ac:dyDescent="0.25">
      <c r="A73" s="4"/>
      <c r="BT73" s="311"/>
      <c r="BU73" s="311"/>
    </row>
  </sheetData>
  <mergeCells count="9">
    <mergeCell ref="G14:M14"/>
    <mergeCell ref="O14:U14"/>
    <mergeCell ref="W14:AC14"/>
    <mergeCell ref="AE14:AK14"/>
    <mergeCell ref="BS14:BW14"/>
    <mergeCell ref="BK14:BQ14"/>
    <mergeCell ref="BC14:BI14"/>
    <mergeCell ref="AU14:BA14"/>
    <mergeCell ref="AM14:AS1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C74"/>
  <sheetViews>
    <sheetView showGridLines="0" topLeftCell="B1" workbookViewId="0">
      <selection activeCell="B1" sqref="B1"/>
    </sheetView>
  </sheetViews>
  <sheetFormatPr defaultColWidth="9.140625" defaultRowHeight="15" outlineLevelRow="1" outlineLevelCol="1" x14ac:dyDescent="0.25"/>
  <cols>
    <col min="1" max="1" width="0" style="310" hidden="1" customWidth="1" outlineLevel="1"/>
    <col min="2" max="2" width="36.5703125" style="310" bestFit="1" customWidth="1" collapsed="1"/>
    <col min="3" max="3" width="7.7109375" style="310" bestFit="1" customWidth="1"/>
    <col min="4" max="4" width="2.5703125" style="310" customWidth="1"/>
    <col min="5" max="5" width="9.140625" style="310" customWidth="1"/>
    <col min="6" max="6" width="2.5703125" style="310" customWidth="1"/>
    <col min="7" max="7" width="9.140625" style="310" bestFit="1" customWidth="1"/>
    <col min="8" max="8" width="8.140625" style="310" bestFit="1" customWidth="1"/>
    <col min="9" max="9" width="9.140625" style="310" bestFit="1" customWidth="1"/>
    <col min="10" max="13" width="9.5703125" style="310" bestFit="1" customWidth="1"/>
    <col min="14" max="14" width="2.5703125" style="310" customWidth="1"/>
    <col min="15" max="17" width="9.7109375" style="310" customWidth="1"/>
    <col min="18" max="18" width="8.5703125" style="310" customWidth="1"/>
    <col min="19" max="19" width="8.85546875" style="310" customWidth="1"/>
    <col min="20" max="20" width="9.5703125" style="310" customWidth="1"/>
    <col min="21" max="21" width="8.85546875" style="310" customWidth="1"/>
    <col min="22" max="22" width="2.5703125" style="310" customWidth="1"/>
    <col min="23" max="23" width="8.7109375" style="310" bestFit="1" customWidth="1"/>
    <col min="24" max="24" width="7.7109375" style="310" bestFit="1" customWidth="1"/>
    <col min="25" max="25" width="8.7109375" style="310" bestFit="1" customWidth="1"/>
    <col min="26" max="26" width="8.5703125" style="310" bestFit="1" customWidth="1"/>
    <col min="27" max="27" width="8.85546875" style="310" bestFit="1" customWidth="1"/>
    <col min="28" max="28" width="9.5703125" style="310" bestFit="1" customWidth="1"/>
    <col min="29" max="29" width="8.85546875" style="310" bestFit="1" customWidth="1"/>
    <col min="30" max="30" width="2.5703125" style="310" customWidth="1"/>
    <col min="31" max="32" width="8.7109375" style="310" bestFit="1" customWidth="1"/>
    <col min="33" max="33" width="9.140625" style="310" bestFit="1" customWidth="1"/>
    <col min="34" max="34" width="8" style="310" bestFit="1" customWidth="1"/>
    <col min="35" max="35" width="9.140625" style="310" bestFit="1" customWidth="1"/>
    <col min="36" max="36" width="8" style="310" bestFit="1" customWidth="1"/>
    <col min="37" max="37" width="9.140625" style="310" bestFit="1" customWidth="1"/>
    <col min="38" max="38" width="3.28515625" style="310" customWidth="1"/>
    <col min="39" max="40" width="8.7109375" style="310" bestFit="1" customWidth="1"/>
    <col min="41" max="41" width="7.7109375" style="310" bestFit="1" customWidth="1"/>
    <col min="42" max="45" width="8.7109375" style="310" bestFit="1" customWidth="1"/>
    <col min="46" max="46" width="3.28515625" style="310" customWidth="1"/>
    <col min="47" max="48" width="8.7109375" style="310" bestFit="1" customWidth="1"/>
    <col min="49" max="49" width="7.7109375" style="310" bestFit="1" customWidth="1"/>
    <col min="50" max="50" width="8.7109375" style="310" bestFit="1" customWidth="1"/>
    <col min="51" max="51" width="7.7109375" style="310" bestFit="1" customWidth="1"/>
    <col min="52" max="53" width="8.7109375" style="310" bestFit="1" customWidth="1"/>
    <col min="54" max="54" width="3.5703125" style="310" customWidth="1"/>
    <col min="55" max="55" width="8.7109375" style="310" customWidth="1"/>
    <col min="56" max="56" width="8.7109375" style="310" bestFit="1" customWidth="1"/>
    <col min="57" max="57" width="7.7109375" style="310" bestFit="1" customWidth="1"/>
    <col min="58" max="58" width="8.7109375" style="310" bestFit="1" customWidth="1"/>
    <col min="59" max="59" width="7.7109375" style="310" bestFit="1" customWidth="1"/>
    <col min="60" max="61" width="8.7109375" style="310" bestFit="1" customWidth="1"/>
    <col min="62" max="62" width="3.7109375" style="310" customWidth="1"/>
    <col min="63" max="64" width="8.7109375" style="310" bestFit="1" customWidth="1"/>
    <col min="65" max="65" width="7.7109375" style="310" bestFit="1" customWidth="1"/>
    <col min="66" max="66" width="8.7109375" style="310" bestFit="1" customWidth="1"/>
    <col min="67" max="67" width="7.7109375" style="310" bestFit="1" customWidth="1"/>
    <col min="68" max="69" width="8.7109375" style="310" bestFit="1" customWidth="1"/>
    <col min="70" max="16384" width="9.140625" style="310"/>
  </cols>
  <sheetData>
    <row r="1" spans="2:69" ht="17.25" x14ac:dyDescent="0.4">
      <c r="B1" s="300" t="s">
        <v>154</v>
      </c>
      <c r="C1" s="620">
        <v>253.4</v>
      </c>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14"/>
      <c r="BL1" s="274"/>
      <c r="BM1" s="274"/>
      <c r="BN1" s="274"/>
      <c r="BO1" s="274"/>
      <c r="BP1" s="274"/>
      <c r="BQ1" s="274"/>
    </row>
    <row r="2" spans="2:69" x14ac:dyDescent="0.25">
      <c r="B2" s="505" t="s">
        <v>42</v>
      </c>
      <c r="C2" s="506">
        <v>140</v>
      </c>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328"/>
      <c r="AU2" s="328"/>
      <c r="AV2" s="328"/>
      <c r="AW2" s="328"/>
      <c r="AX2" s="328"/>
      <c r="AY2" s="328"/>
      <c r="AZ2" s="328"/>
      <c r="BA2" s="328"/>
      <c r="BB2" s="328"/>
      <c r="BC2" s="328"/>
      <c r="BD2" s="328"/>
      <c r="BE2" s="328"/>
      <c r="BF2" s="328"/>
      <c r="BG2" s="328"/>
      <c r="BH2" s="328"/>
      <c r="BI2" s="328"/>
      <c r="BJ2" s="328"/>
      <c r="BK2" s="274"/>
      <c r="BL2" s="274"/>
      <c r="BM2" s="274"/>
      <c r="BN2" s="274"/>
      <c r="BO2" s="274"/>
      <c r="BP2" s="274"/>
      <c r="BQ2" s="274"/>
    </row>
    <row r="3" spans="2:69" x14ac:dyDescent="0.25">
      <c r="B3" s="507" t="s">
        <v>43</v>
      </c>
      <c r="C3" s="508">
        <v>0</v>
      </c>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c r="AZ3" s="328"/>
      <c r="BA3" s="328"/>
      <c r="BB3" s="328"/>
      <c r="BC3" s="328"/>
      <c r="BD3" s="328"/>
      <c r="BE3" s="328"/>
      <c r="BF3" s="328"/>
      <c r="BG3" s="328"/>
      <c r="BH3" s="328"/>
      <c r="BI3" s="328"/>
      <c r="BJ3" s="328"/>
      <c r="BK3" s="274"/>
      <c r="BL3" s="274"/>
      <c r="BM3" s="274"/>
      <c r="BN3" s="274"/>
      <c r="BO3" s="274"/>
      <c r="BP3" s="274"/>
      <c r="BQ3" s="274"/>
    </row>
    <row r="4" spans="2:69" x14ac:dyDescent="0.25">
      <c r="B4" s="507" t="s">
        <v>44</v>
      </c>
      <c r="C4" s="508">
        <f>C1-C2</f>
        <v>113.4</v>
      </c>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c r="BA4" s="328"/>
      <c r="BB4" s="328"/>
      <c r="BC4" s="328"/>
      <c r="BD4" s="328"/>
      <c r="BE4" s="328"/>
      <c r="BF4" s="328"/>
      <c r="BG4" s="328"/>
      <c r="BH4" s="328"/>
      <c r="BI4" s="328"/>
      <c r="BJ4" s="328"/>
      <c r="BK4" s="274"/>
      <c r="BL4" s="274"/>
      <c r="BM4" s="274"/>
      <c r="BN4" s="274"/>
      <c r="BO4" s="274"/>
      <c r="BP4" s="274"/>
      <c r="BQ4" s="274"/>
    </row>
    <row r="5" spans="2:69" x14ac:dyDescent="0.25">
      <c r="B5" s="507"/>
      <c r="C5" s="50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c r="AW5" s="328"/>
      <c r="AX5" s="328"/>
      <c r="AY5" s="328"/>
      <c r="AZ5" s="328"/>
      <c r="BA5" s="328"/>
      <c r="BB5" s="328"/>
      <c r="BC5" s="328"/>
      <c r="BD5" s="328"/>
      <c r="BE5" s="328"/>
      <c r="BF5" s="328"/>
      <c r="BG5" s="328"/>
      <c r="BH5" s="328"/>
      <c r="BI5" s="328"/>
      <c r="BJ5" s="328"/>
      <c r="BK5" s="274"/>
      <c r="BL5" s="274"/>
      <c r="BM5" s="274"/>
      <c r="BN5" s="274"/>
      <c r="BO5" s="274"/>
      <c r="BP5" s="274"/>
      <c r="BQ5" s="274"/>
    </row>
    <row r="6" spans="2:69" x14ac:dyDescent="0.25">
      <c r="B6" s="509" t="s">
        <v>171</v>
      </c>
      <c r="C6" s="508">
        <v>13</v>
      </c>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c r="BA6" s="328"/>
      <c r="BB6" s="328"/>
      <c r="BC6" s="328"/>
      <c r="BD6" s="328"/>
      <c r="BE6" s="328"/>
      <c r="BF6" s="328"/>
      <c r="BG6" s="328"/>
      <c r="BH6" s="328"/>
      <c r="BI6" s="328"/>
      <c r="BJ6" s="328"/>
      <c r="BK6" s="274"/>
      <c r="BL6" s="274"/>
      <c r="BM6" s="274"/>
      <c r="BN6" s="274"/>
      <c r="BO6" s="274"/>
      <c r="BP6" s="274"/>
      <c r="BQ6" s="274"/>
    </row>
    <row r="7" spans="2:69" x14ac:dyDescent="0.25">
      <c r="B7" s="509" t="s">
        <v>186</v>
      </c>
      <c r="C7" s="508">
        <v>56</v>
      </c>
      <c r="D7" s="328"/>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28"/>
      <c r="BI7" s="328"/>
      <c r="BJ7" s="328"/>
      <c r="BK7" s="274"/>
      <c r="BL7" s="274"/>
      <c r="BM7" s="274"/>
      <c r="BN7" s="274"/>
      <c r="BO7" s="274"/>
      <c r="BP7" s="274"/>
      <c r="BQ7" s="274"/>
    </row>
    <row r="8" spans="2:69" x14ac:dyDescent="0.25">
      <c r="B8" s="77" t="s">
        <v>192</v>
      </c>
      <c r="C8" s="508">
        <v>4.5</v>
      </c>
      <c r="D8" s="328"/>
      <c r="E8" s="328"/>
      <c r="F8" s="328"/>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274"/>
      <c r="BL8" s="274"/>
      <c r="BM8" s="274"/>
      <c r="BN8" s="274"/>
      <c r="BO8" s="274"/>
      <c r="BP8" s="274"/>
      <c r="BQ8" s="274"/>
    </row>
    <row r="9" spans="2:69" x14ac:dyDescent="0.25">
      <c r="B9" s="621" t="s">
        <v>251</v>
      </c>
      <c r="C9" s="510">
        <f>137.8</f>
        <v>137.80000000000001</v>
      </c>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8"/>
      <c r="AF9" s="328"/>
      <c r="AG9" s="328"/>
      <c r="AH9" s="328"/>
      <c r="AI9" s="328"/>
      <c r="AJ9" s="328"/>
      <c r="AK9" s="328"/>
      <c r="AL9" s="328"/>
      <c r="AM9" s="328"/>
      <c r="AN9" s="328"/>
      <c r="AO9" s="328"/>
      <c r="AP9" s="328"/>
      <c r="AQ9" s="328"/>
      <c r="AR9" s="328"/>
      <c r="AS9" s="328"/>
      <c r="AT9" s="328"/>
      <c r="AU9" s="328"/>
      <c r="AV9" s="328"/>
      <c r="AW9" s="328"/>
      <c r="AX9" s="328"/>
      <c r="AY9" s="328"/>
      <c r="AZ9" s="328"/>
      <c r="BA9" s="328"/>
      <c r="BB9" s="328"/>
      <c r="BC9" s="328"/>
      <c r="BD9" s="328"/>
      <c r="BE9" s="328"/>
      <c r="BF9" s="328"/>
      <c r="BG9" s="328"/>
      <c r="BH9" s="328"/>
      <c r="BI9" s="328"/>
      <c r="BJ9" s="328"/>
      <c r="BK9" s="274"/>
      <c r="BL9" s="274"/>
      <c r="BM9" s="274"/>
      <c r="BN9" s="274"/>
      <c r="BO9" s="274"/>
      <c r="BP9" s="274"/>
      <c r="BQ9" s="274"/>
    </row>
    <row r="10" spans="2:69" x14ac:dyDescent="0.25">
      <c r="B10" s="393"/>
      <c r="C10" s="354"/>
      <c r="D10" s="328"/>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8"/>
      <c r="AF10" s="328"/>
      <c r="AG10" s="328"/>
      <c r="AH10" s="328"/>
      <c r="AI10" s="328"/>
      <c r="AJ10" s="328"/>
      <c r="AK10" s="328"/>
      <c r="AL10" s="328"/>
      <c r="AM10" s="328"/>
      <c r="AN10" s="328"/>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274"/>
      <c r="BL10" s="274"/>
      <c r="BM10" s="274"/>
      <c r="BN10" s="274"/>
      <c r="BO10" s="274"/>
      <c r="BP10" s="274"/>
      <c r="BQ10" s="274"/>
    </row>
    <row r="11" spans="2:69" x14ac:dyDescent="0.25">
      <c r="B11" s="393"/>
      <c r="C11" s="354"/>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274"/>
      <c r="BL11" s="274"/>
      <c r="BM11" s="274"/>
      <c r="BN11" s="274"/>
      <c r="BO11" s="274"/>
      <c r="BP11" s="274"/>
      <c r="BQ11" s="274"/>
    </row>
    <row r="12" spans="2:69" x14ac:dyDescent="0.25">
      <c r="B12" s="304"/>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16"/>
      <c r="BL12" s="316"/>
      <c r="BM12" s="316"/>
      <c r="BN12" s="316"/>
      <c r="BO12" s="316"/>
      <c r="BP12" s="316"/>
      <c r="BQ12" s="316"/>
    </row>
    <row r="13" spans="2:69" x14ac:dyDescent="0.25">
      <c r="B13" s="304"/>
      <c r="C13" s="305"/>
      <c r="D13" s="305"/>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16"/>
      <c r="BL13" s="316"/>
      <c r="BM13" s="316"/>
      <c r="BN13" s="316"/>
      <c r="BO13" s="316"/>
      <c r="BP13" s="316"/>
      <c r="BQ13" s="316"/>
    </row>
    <row r="14" spans="2:69" ht="15.75" thickBot="1" x14ac:dyDescent="0.3">
      <c r="B14" s="304" t="str" cm="1">
        <f t="array" aca="1" ref="B14" ca="1">MID(CELL("filename",B1),FIND("]",CELL("filename",B1))+1,255)</f>
        <v>Altor Solutions</v>
      </c>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16"/>
      <c r="BL14" s="316"/>
      <c r="BM14" s="316"/>
      <c r="BN14" s="316"/>
      <c r="BO14" s="316"/>
      <c r="BP14" s="316"/>
      <c r="BQ14" s="316"/>
    </row>
    <row r="15" spans="2:69" ht="15.75" thickBot="1" x14ac:dyDescent="0.3">
      <c r="B15" s="42"/>
      <c r="C15" s="274"/>
      <c r="D15" s="274"/>
      <c r="E15" s="737">
        <v>2026</v>
      </c>
      <c r="F15" s="274"/>
      <c r="G15" s="807">
        <v>2025</v>
      </c>
      <c r="H15" s="808"/>
      <c r="I15" s="808"/>
      <c r="J15" s="808"/>
      <c r="K15" s="808"/>
      <c r="L15" s="808"/>
      <c r="M15" s="809"/>
      <c r="N15" s="274"/>
      <c r="O15" s="807">
        <v>2024</v>
      </c>
      <c r="P15" s="808"/>
      <c r="Q15" s="808"/>
      <c r="R15" s="808"/>
      <c r="S15" s="808"/>
      <c r="T15" s="808"/>
      <c r="U15" s="809"/>
      <c r="V15" s="566"/>
      <c r="W15" s="807">
        <v>2023</v>
      </c>
      <c r="X15" s="808"/>
      <c r="Y15" s="808"/>
      <c r="Z15" s="808"/>
      <c r="AA15" s="808"/>
      <c r="AB15" s="808"/>
      <c r="AC15" s="809"/>
      <c r="AD15" s="566"/>
      <c r="AE15" s="807">
        <v>2022</v>
      </c>
      <c r="AF15" s="808"/>
      <c r="AG15" s="808"/>
      <c r="AH15" s="808"/>
      <c r="AI15" s="808"/>
      <c r="AJ15" s="808"/>
      <c r="AK15" s="809"/>
      <c r="AL15" s="274"/>
      <c r="AM15" s="828">
        <v>2021</v>
      </c>
      <c r="AN15" s="829"/>
      <c r="AO15" s="829"/>
      <c r="AP15" s="829"/>
      <c r="AQ15" s="829"/>
      <c r="AR15" s="829"/>
      <c r="AS15" s="830"/>
      <c r="AT15" s="274"/>
      <c r="AU15" s="825">
        <v>2020</v>
      </c>
      <c r="AV15" s="826"/>
      <c r="AW15" s="826"/>
      <c r="AX15" s="826"/>
      <c r="AY15" s="826"/>
      <c r="AZ15" s="826"/>
      <c r="BA15" s="827"/>
      <c r="BB15" s="274"/>
      <c r="BC15" s="822">
        <v>2019</v>
      </c>
      <c r="BD15" s="823"/>
      <c r="BE15" s="823"/>
      <c r="BF15" s="823"/>
      <c r="BG15" s="823"/>
      <c r="BH15" s="823"/>
      <c r="BI15" s="824"/>
      <c r="BJ15" s="274"/>
      <c r="BK15" s="822">
        <v>2018</v>
      </c>
      <c r="BL15" s="823"/>
      <c r="BM15" s="823"/>
      <c r="BN15" s="823"/>
      <c r="BO15" s="823"/>
      <c r="BP15" s="823"/>
      <c r="BQ15" s="824"/>
    </row>
    <row r="16" spans="2:69" x14ac:dyDescent="0.25">
      <c r="B16" s="307"/>
      <c r="C16" s="274"/>
      <c r="D16" s="274"/>
      <c r="E16" s="728" t="s">
        <v>3</v>
      </c>
      <c r="F16" s="274"/>
      <c r="G16" s="521" t="s">
        <v>3</v>
      </c>
      <c r="H16" s="97" t="s">
        <v>4</v>
      </c>
      <c r="I16" s="97" t="s">
        <v>5</v>
      </c>
      <c r="J16" s="10" t="s">
        <v>6</v>
      </c>
      <c r="K16" s="10" t="s">
        <v>7</v>
      </c>
      <c r="L16" s="10" t="str">
        <f>T16</f>
        <v>Q4 QTD</v>
      </c>
      <c r="M16" s="13" t="str">
        <f>U16</f>
        <v>Q4 YTD</v>
      </c>
      <c r="N16" s="274"/>
      <c r="O16" s="521" t="s">
        <v>3</v>
      </c>
      <c r="P16" s="97" t="s">
        <v>4</v>
      </c>
      <c r="Q16" s="97" t="s">
        <v>5</v>
      </c>
      <c r="R16" s="10" t="s">
        <v>6</v>
      </c>
      <c r="S16" s="10" t="s">
        <v>7</v>
      </c>
      <c r="T16" s="10" t="str">
        <f>AB16</f>
        <v>Q4 QTD</v>
      </c>
      <c r="U16" s="13" t="str">
        <f>AC16</f>
        <v>Q4 YTD</v>
      </c>
      <c r="V16" s="476"/>
      <c r="W16" s="521" t="s">
        <v>3</v>
      </c>
      <c r="X16" s="97" t="s">
        <v>4</v>
      </c>
      <c r="Y16" s="97" t="s">
        <v>5</v>
      </c>
      <c r="Z16" s="10" t="s">
        <v>6</v>
      </c>
      <c r="AA16" s="10" t="s">
        <v>7</v>
      </c>
      <c r="AB16" s="10" t="str">
        <f>AJ16</f>
        <v>Q4 QTD</v>
      </c>
      <c r="AC16" s="13" t="str">
        <f>AK16</f>
        <v>Q4 YTD</v>
      </c>
      <c r="AD16" s="476"/>
      <c r="AE16" s="521" t="s">
        <v>3</v>
      </c>
      <c r="AF16" s="97" t="s">
        <v>4</v>
      </c>
      <c r="AG16" s="97" t="s">
        <v>5</v>
      </c>
      <c r="AH16" s="10" t="s">
        <v>6</v>
      </c>
      <c r="AI16" s="10" t="s">
        <v>7</v>
      </c>
      <c r="AJ16" s="10" t="str">
        <f>AR16</f>
        <v>Q4 QTD</v>
      </c>
      <c r="AK16" s="13" t="str">
        <f>AS16</f>
        <v>Q4 YTD</v>
      </c>
      <c r="AL16" s="274"/>
      <c r="AM16" s="321" t="s">
        <v>3</v>
      </c>
      <c r="AN16" s="10" t="s">
        <v>4</v>
      </c>
      <c r="AO16" s="10" t="s">
        <v>5</v>
      </c>
      <c r="AP16" s="10" t="s">
        <v>6</v>
      </c>
      <c r="AQ16" s="10" t="s">
        <v>7</v>
      </c>
      <c r="AR16" s="10" t="s">
        <v>8</v>
      </c>
      <c r="AS16" s="13" t="s">
        <v>9</v>
      </c>
      <c r="AT16" s="274"/>
      <c r="AU16" s="321" t="s">
        <v>3</v>
      </c>
      <c r="AV16" s="10" t="s">
        <v>4</v>
      </c>
      <c r="AW16" s="10" t="s">
        <v>5</v>
      </c>
      <c r="AX16" s="10" t="s">
        <v>6</v>
      </c>
      <c r="AY16" s="10" t="s">
        <v>7</v>
      </c>
      <c r="AZ16" s="10" t="s">
        <v>8</v>
      </c>
      <c r="BA16" s="13" t="s">
        <v>9</v>
      </c>
      <c r="BB16" s="274"/>
      <c r="BC16" s="321" t="s">
        <v>3</v>
      </c>
      <c r="BD16" s="10" t="s">
        <v>4</v>
      </c>
      <c r="BE16" s="10" t="s">
        <v>5</v>
      </c>
      <c r="BF16" s="10" t="s">
        <v>6</v>
      </c>
      <c r="BG16" s="10" t="s">
        <v>7</v>
      </c>
      <c r="BH16" s="10" t="s">
        <v>8</v>
      </c>
      <c r="BI16" s="13" t="s">
        <v>9</v>
      </c>
      <c r="BJ16" s="274"/>
      <c r="BK16" s="321" t="s">
        <v>3</v>
      </c>
      <c r="BL16" s="10" t="s">
        <v>4</v>
      </c>
      <c r="BM16" s="10" t="s">
        <v>5</v>
      </c>
      <c r="BN16" s="10" t="s">
        <v>6</v>
      </c>
      <c r="BO16" s="10" t="s">
        <v>7</v>
      </c>
      <c r="BP16" s="10" t="s">
        <v>8</v>
      </c>
      <c r="BQ16" s="13" t="s">
        <v>9</v>
      </c>
    </row>
    <row r="17" spans="1:81" s="4" customFormat="1" x14ac:dyDescent="0.25">
      <c r="B17" s="42"/>
      <c r="C17" s="22"/>
      <c r="D17" s="22"/>
      <c r="E17" s="577"/>
      <c r="F17" s="22"/>
      <c r="G17" s="24"/>
      <c r="H17" s="405"/>
      <c r="I17" s="405"/>
      <c r="J17" s="405"/>
      <c r="K17" s="405"/>
      <c r="L17" s="405"/>
      <c r="M17" s="23"/>
      <c r="N17" s="22"/>
      <c r="O17" s="24"/>
      <c r="P17" s="405"/>
      <c r="Q17" s="405"/>
      <c r="R17" s="405"/>
      <c r="S17" s="405"/>
      <c r="T17" s="405"/>
      <c r="U17" s="23"/>
      <c r="V17" s="577"/>
      <c r="W17" s="24"/>
      <c r="X17" s="405"/>
      <c r="Y17" s="405"/>
      <c r="Z17" s="405"/>
      <c r="AA17" s="405"/>
      <c r="AB17" s="405"/>
      <c r="AC17" s="23"/>
      <c r="AD17" s="577"/>
      <c r="AE17" s="24"/>
      <c r="AF17" s="405"/>
      <c r="AG17" s="405"/>
      <c r="AH17" s="405"/>
      <c r="AI17" s="405"/>
      <c r="AJ17" s="405"/>
      <c r="AK17" s="23"/>
      <c r="AL17" s="22"/>
      <c r="AM17" s="24"/>
      <c r="AN17" s="405"/>
      <c r="AO17" s="405"/>
      <c r="AP17" s="405"/>
      <c r="AQ17" s="405"/>
      <c r="AR17" s="405"/>
      <c r="AS17" s="23"/>
      <c r="AT17" s="22"/>
      <c r="AU17" s="24"/>
      <c r="AV17" s="405"/>
      <c r="AW17" s="405"/>
      <c r="AX17" s="405"/>
      <c r="AY17" s="405"/>
      <c r="AZ17" s="405"/>
      <c r="BA17" s="23"/>
      <c r="BB17" s="22"/>
      <c r="BC17" s="24"/>
      <c r="BD17" s="22"/>
      <c r="BE17" s="22"/>
      <c r="BF17" s="22"/>
      <c r="BG17" s="22"/>
      <c r="BH17" s="22"/>
      <c r="BI17" s="23"/>
      <c r="BJ17" s="22"/>
      <c r="BK17" s="24"/>
      <c r="BL17" s="22"/>
      <c r="BM17" s="22"/>
      <c r="BN17" s="22"/>
      <c r="BO17" s="22"/>
      <c r="BP17" s="22"/>
      <c r="BQ17" s="23"/>
      <c r="BR17" s="22"/>
      <c r="BS17" s="24"/>
      <c r="BT17" s="22"/>
      <c r="BU17" s="22"/>
      <c r="BV17" s="22"/>
      <c r="BW17" s="22"/>
      <c r="BX17" s="22"/>
      <c r="BY17" s="23"/>
      <c r="BZ17" s="22"/>
      <c r="CA17" s="83"/>
      <c r="CB17" s="36"/>
      <c r="CC17" s="37"/>
    </row>
    <row r="18" spans="1:81" x14ac:dyDescent="0.25">
      <c r="A18" s="310" t="s">
        <v>10</v>
      </c>
      <c r="B18" s="308" t="s">
        <v>10</v>
      </c>
      <c r="C18" s="274"/>
      <c r="D18" s="274"/>
      <c r="E18" s="706">
        <v>64640.516000000003</v>
      </c>
      <c r="F18" s="274"/>
      <c r="G18" s="567">
        <v>76256.78</v>
      </c>
      <c r="H18" s="423">
        <v>83305.225999999995</v>
      </c>
      <c r="I18" s="423">
        <v>159562.00599999999</v>
      </c>
      <c r="J18" s="423">
        <v>79824.301000000007</v>
      </c>
      <c r="K18" s="423">
        <v>239386.307</v>
      </c>
      <c r="L18" s="423">
        <v>63634.877</v>
      </c>
      <c r="M18" s="40">
        <v>303021.18400000001</v>
      </c>
      <c r="N18" s="274"/>
      <c r="O18" s="567">
        <v>53404</v>
      </c>
      <c r="P18" s="423">
        <v>52213</v>
      </c>
      <c r="Q18" s="423">
        <v>105617</v>
      </c>
      <c r="R18" s="423">
        <v>52129</v>
      </c>
      <c r="S18" s="423">
        <v>157746</v>
      </c>
      <c r="T18" s="423">
        <v>81323</v>
      </c>
      <c r="U18" s="423">
        <v>239069</v>
      </c>
      <c r="V18" s="483"/>
      <c r="W18" s="567">
        <v>61512</v>
      </c>
      <c r="X18" s="423">
        <f>Y18-W18</f>
        <v>60885</v>
      </c>
      <c r="Y18" s="423">
        <v>122397</v>
      </c>
      <c r="Z18" s="406">
        <f>AA18-Y18</f>
        <v>59216</v>
      </c>
      <c r="AA18" s="423">
        <v>181613</v>
      </c>
      <c r="AB18" s="406">
        <f>AC18-AA18</f>
        <v>56417.092000000004</v>
      </c>
      <c r="AC18" s="40">
        <v>238030.092</v>
      </c>
      <c r="AD18" s="483"/>
      <c r="AE18" s="84">
        <v>63828</v>
      </c>
      <c r="AF18" s="423">
        <f>AG18-AE18</f>
        <v>66144</v>
      </c>
      <c r="AG18" s="423">
        <v>129972</v>
      </c>
      <c r="AH18" s="423">
        <f>AI18-AG18</f>
        <v>69618</v>
      </c>
      <c r="AI18" s="423">
        <v>199590</v>
      </c>
      <c r="AJ18" s="423">
        <f>AK18-AI18</f>
        <v>61748</v>
      </c>
      <c r="AK18" s="40">
        <v>261338</v>
      </c>
      <c r="AL18" s="274"/>
      <c r="AM18" s="84">
        <v>37820</v>
      </c>
      <c r="AN18" s="423">
        <v>40640</v>
      </c>
      <c r="AO18" s="423">
        <v>78460</v>
      </c>
      <c r="AP18" s="423">
        <v>44122</v>
      </c>
      <c r="AQ18" s="423">
        <v>122582</v>
      </c>
      <c r="AR18" s="423">
        <f>AS18-AQ18</f>
        <v>57635</v>
      </c>
      <c r="AS18" s="40">
        <v>180217</v>
      </c>
      <c r="AT18" s="274"/>
      <c r="AU18" s="84">
        <v>28383</v>
      </c>
      <c r="AV18" s="423">
        <v>24429</v>
      </c>
      <c r="AW18" s="423">
        <v>52812</v>
      </c>
      <c r="AX18" s="423">
        <v>36526</v>
      </c>
      <c r="AY18" s="423">
        <v>89338</v>
      </c>
      <c r="AZ18" s="423">
        <v>40708</v>
      </c>
      <c r="BA18" s="40">
        <v>130046</v>
      </c>
      <c r="BB18" s="274"/>
      <c r="BC18" s="84">
        <v>30682</v>
      </c>
      <c r="BD18" s="39">
        <v>31648</v>
      </c>
      <c r="BE18" s="39">
        <v>62330</v>
      </c>
      <c r="BF18" s="39">
        <v>31304</v>
      </c>
      <c r="BG18" s="39">
        <v>93634</v>
      </c>
      <c r="BH18" s="39">
        <v>27790</v>
      </c>
      <c r="BI18" s="40">
        <v>121424</v>
      </c>
      <c r="BJ18" s="274"/>
      <c r="BK18" s="84">
        <v>15457</v>
      </c>
      <c r="BL18" s="39">
        <v>33194</v>
      </c>
      <c r="BM18" s="39">
        <v>48651</v>
      </c>
      <c r="BN18" s="39">
        <v>33337</v>
      </c>
      <c r="BO18" s="39">
        <v>81988</v>
      </c>
      <c r="BP18" s="39">
        <v>31444</v>
      </c>
      <c r="BQ18" s="40">
        <v>113432</v>
      </c>
    </row>
    <row r="19" spans="1:81" ht="17.25" x14ac:dyDescent="0.4">
      <c r="A19" s="310" t="s">
        <v>210</v>
      </c>
      <c r="B19" s="308" t="s">
        <v>11</v>
      </c>
      <c r="C19" s="274"/>
      <c r="D19" s="274"/>
      <c r="E19" s="739">
        <v>51499.803999999996</v>
      </c>
      <c r="F19" s="274"/>
      <c r="G19" s="568">
        <v>57220.749000000003</v>
      </c>
      <c r="H19" s="427">
        <v>60589.930999999997</v>
      </c>
      <c r="I19" s="427">
        <v>117810.68</v>
      </c>
      <c r="J19" s="427">
        <v>59646.169000000002</v>
      </c>
      <c r="K19" s="427">
        <v>177456.84899999999</v>
      </c>
      <c r="L19" s="427">
        <v>51114.750999999997</v>
      </c>
      <c r="M19" s="326">
        <v>228571.6</v>
      </c>
      <c r="N19" s="274"/>
      <c r="O19" s="568">
        <v>37231</v>
      </c>
      <c r="P19" s="427">
        <v>37184</v>
      </c>
      <c r="Q19" s="427">
        <v>74415</v>
      </c>
      <c r="R19" s="427">
        <v>36051</v>
      </c>
      <c r="S19" s="427">
        <v>110466</v>
      </c>
      <c r="T19" s="427">
        <v>62335</v>
      </c>
      <c r="U19" s="427">
        <v>172801</v>
      </c>
      <c r="V19" s="483"/>
      <c r="W19" s="568">
        <v>44770</v>
      </c>
      <c r="X19" s="427">
        <f t="shared" ref="X19:X45" si="0">Y19-W19</f>
        <v>41357</v>
      </c>
      <c r="Y19" s="427">
        <v>86127</v>
      </c>
      <c r="Z19" s="407">
        <f t="shared" ref="Z19:AB30" si="1">AA19-Y19</f>
        <v>40753</v>
      </c>
      <c r="AA19" s="427">
        <v>126880</v>
      </c>
      <c r="AB19" s="407">
        <f t="shared" si="1"/>
        <v>37533.904999999999</v>
      </c>
      <c r="AC19" s="326">
        <v>164413.905</v>
      </c>
      <c r="AD19" s="483"/>
      <c r="AE19" s="324">
        <v>49689</v>
      </c>
      <c r="AF19" s="427">
        <f t="shared" ref="AF19:AH45" si="2">AG19-AE19</f>
        <v>52321</v>
      </c>
      <c r="AG19" s="427">
        <v>102010</v>
      </c>
      <c r="AH19" s="427">
        <f t="shared" ref="AH19:AH56" si="3">AI19-AG19</f>
        <v>54334</v>
      </c>
      <c r="AI19" s="427">
        <v>156344</v>
      </c>
      <c r="AJ19" s="427">
        <f t="shared" ref="AJ19:AJ45" si="4">AK19-AI19</f>
        <v>46965</v>
      </c>
      <c r="AK19" s="326">
        <v>203309</v>
      </c>
      <c r="AL19" s="274"/>
      <c r="AM19" s="324">
        <v>27736</v>
      </c>
      <c r="AN19" s="427">
        <v>31382</v>
      </c>
      <c r="AO19" s="427">
        <v>59118</v>
      </c>
      <c r="AP19" s="427">
        <v>32486</v>
      </c>
      <c r="AQ19" s="427">
        <v>91604</v>
      </c>
      <c r="AR19" s="427">
        <f t="shared" ref="AR19:AR44" si="5">AS19-AQ19</f>
        <v>44854</v>
      </c>
      <c r="AS19" s="326">
        <v>136458</v>
      </c>
      <c r="AT19" s="274"/>
      <c r="AU19" s="324">
        <v>19718</v>
      </c>
      <c r="AV19" s="427">
        <v>17113</v>
      </c>
      <c r="AW19" s="427">
        <v>36831</v>
      </c>
      <c r="AX19" s="427">
        <v>25342</v>
      </c>
      <c r="AY19" s="427">
        <v>62173</v>
      </c>
      <c r="AZ19" s="427">
        <v>28438</v>
      </c>
      <c r="BA19" s="326">
        <v>90611</v>
      </c>
      <c r="BB19" s="274"/>
      <c r="BC19" s="324">
        <v>22194</v>
      </c>
      <c r="BD19" s="325">
        <v>22293</v>
      </c>
      <c r="BE19" s="325">
        <v>44487</v>
      </c>
      <c r="BF19" s="325">
        <v>22375</v>
      </c>
      <c r="BG19" s="325">
        <v>66862</v>
      </c>
      <c r="BH19" s="325">
        <v>20144</v>
      </c>
      <c r="BI19" s="326">
        <v>87006</v>
      </c>
      <c r="BJ19" s="274"/>
      <c r="BK19" s="324">
        <v>11943</v>
      </c>
      <c r="BL19" s="325">
        <v>24177</v>
      </c>
      <c r="BM19" s="325">
        <v>36120</v>
      </c>
      <c r="BN19" s="325">
        <v>23890</v>
      </c>
      <c r="BO19" s="325">
        <v>60010</v>
      </c>
      <c r="BP19" s="325">
        <v>22590</v>
      </c>
      <c r="BQ19" s="326">
        <v>82600</v>
      </c>
    </row>
    <row r="20" spans="1:81" x14ac:dyDescent="0.25">
      <c r="A20" s="310" t="s">
        <v>12</v>
      </c>
      <c r="B20" s="308" t="s">
        <v>12</v>
      </c>
      <c r="C20" s="274"/>
      <c r="D20" s="274"/>
      <c r="E20" s="706">
        <f>E18-E19</f>
        <v>13140.712000000007</v>
      </c>
      <c r="F20" s="274"/>
      <c r="G20" s="567">
        <f>G18-G19</f>
        <v>19036.030999999995</v>
      </c>
      <c r="H20" s="608">
        <f t="shared" ref="H20:M20" si="6">H18-H19</f>
        <v>22715.294999999998</v>
      </c>
      <c r="I20" s="608">
        <f t="shared" si="6"/>
        <v>41751.326000000001</v>
      </c>
      <c r="J20" s="608">
        <f t="shared" si="6"/>
        <v>20178.132000000005</v>
      </c>
      <c r="K20" s="608">
        <f t="shared" si="6"/>
        <v>61929.458000000013</v>
      </c>
      <c r="L20" s="608">
        <f t="shared" si="6"/>
        <v>12520.126000000004</v>
      </c>
      <c r="M20" s="622">
        <f t="shared" si="6"/>
        <v>74449.584000000003</v>
      </c>
      <c r="N20" s="274"/>
      <c r="O20" s="567">
        <f>O18-O19</f>
        <v>16173</v>
      </c>
      <c r="P20" s="608">
        <f t="shared" ref="P20:Q20" si="7">P18-P19</f>
        <v>15029</v>
      </c>
      <c r="Q20" s="608">
        <f t="shared" si="7"/>
        <v>31202</v>
      </c>
      <c r="R20" s="608">
        <f t="shared" ref="R20:S20" si="8">R18-R19</f>
        <v>16078</v>
      </c>
      <c r="S20" s="608">
        <f t="shared" si="8"/>
        <v>47280</v>
      </c>
      <c r="T20" s="608">
        <f t="shared" ref="T20:U20" si="9">T18-T19</f>
        <v>18988</v>
      </c>
      <c r="U20" s="608">
        <f t="shared" si="9"/>
        <v>66268</v>
      </c>
      <c r="V20" s="483"/>
      <c r="W20" s="567">
        <v>16742</v>
      </c>
      <c r="X20" s="423">
        <f t="shared" si="0"/>
        <v>19528</v>
      </c>
      <c r="Y20" s="423">
        <v>36270</v>
      </c>
      <c r="Z20" s="406">
        <f t="shared" si="1"/>
        <v>18463</v>
      </c>
      <c r="AA20" s="423">
        <v>54733</v>
      </c>
      <c r="AB20" s="406">
        <f t="shared" si="1"/>
        <v>18883.187000000005</v>
      </c>
      <c r="AC20" s="40">
        <v>73616.187000000005</v>
      </c>
      <c r="AD20" s="483"/>
      <c r="AE20" s="84">
        <f>AE18-AE19</f>
        <v>14139</v>
      </c>
      <c r="AF20" s="423">
        <f t="shared" si="2"/>
        <v>13823</v>
      </c>
      <c r="AG20" s="423">
        <v>27962</v>
      </c>
      <c r="AH20" s="423">
        <f t="shared" si="3"/>
        <v>15284</v>
      </c>
      <c r="AI20" s="423">
        <v>43246</v>
      </c>
      <c r="AJ20" s="423">
        <f t="shared" si="4"/>
        <v>14783</v>
      </c>
      <c r="AK20" s="40">
        <v>58029</v>
      </c>
      <c r="AL20" s="274"/>
      <c r="AM20" s="84">
        <v>10084</v>
      </c>
      <c r="AN20" s="423">
        <v>9258</v>
      </c>
      <c r="AO20" s="423">
        <v>19342</v>
      </c>
      <c r="AP20" s="423">
        <v>11636</v>
      </c>
      <c r="AQ20" s="423">
        <v>30978</v>
      </c>
      <c r="AR20" s="423">
        <f t="shared" si="5"/>
        <v>12781</v>
      </c>
      <c r="AS20" s="40">
        <f>AS18-AS19</f>
        <v>43759</v>
      </c>
      <c r="AT20" s="274"/>
      <c r="AU20" s="84">
        <v>8665</v>
      </c>
      <c r="AV20" s="423">
        <v>7316</v>
      </c>
      <c r="AW20" s="423">
        <v>15981</v>
      </c>
      <c r="AX20" s="423">
        <v>11184</v>
      </c>
      <c r="AY20" s="423">
        <v>27165</v>
      </c>
      <c r="AZ20" s="423">
        <v>12270</v>
      </c>
      <c r="BA20" s="40">
        <v>39435</v>
      </c>
      <c r="BB20" s="274"/>
      <c r="BC20" s="84">
        <v>8488</v>
      </c>
      <c r="BD20" s="39">
        <v>9355</v>
      </c>
      <c r="BE20" s="39">
        <v>17843</v>
      </c>
      <c r="BF20" s="39">
        <v>8929</v>
      </c>
      <c r="BG20" s="39">
        <v>26772</v>
      </c>
      <c r="BH20" s="39">
        <v>7646</v>
      </c>
      <c r="BI20" s="40">
        <v>34418</v>
      </c>
      <c r="BJ20" s="274"/>
      <c r="BK20" s="84">
        <v>3514</v>
      </c>
      <c r="BL20" s="39">
        <v>9017</v>
      </c>
      <c r="BM20" s="39">
        <v>12531</v>
      </c>
      <c r="BN20" s="39">
        <v>9447</v>
      </c>
      <c r="BO20" s="39">
        <v>21978</v>
      </c>
      <c r="BP20" s="39">
        <v>8854</v>
      </c>
      <c r="BQ20" s="40">
        <v>30832</v>
      </c>
    </row>
    <row r="21" spans="1:81" outlineLevel="1" x14ac:dyDescent="0.25">
      <c r="A21" s="310" t="s">
        <v>211</v>
      </c>
      <c r="B21" s="302" t="s">
        <v>13</v>
      </c>
      <c r="C21" s="274"/>
      <c r="D21" s="274"/>
      <c r="E21" s="740">
        <v>8432.527</v>
      </c>
      <c r="F21" s="274"/>
      <c r="G21" s="569">
        <v>10401.201999999999</v>
      </c>
      <c r="H21" s="424">
        <v>11797.001</v>
      </c>
      <c r="I21" s="424">
        <v>22198.202999999998</v>
      </c>
      <c r="J21" s="424">
        <v>11363.618999999999</v>
      </c>
      <c r="K21" s="424">
        <v>33561.822</v>
      </c>
      <c r="L21" s="424">
        <v>11664.386</v>
      </c>
      <c r="M21" s="86">
        <v>45226.207999999999</v>
      </c>
      <c r="N21" s="274"/>
      <c r="O21" s="569">
        <v>6950</v>
      </c>
      <c r="P21" s="424">
        <v>7280</v>
      </c>
      <c r="Q21" s="424">
        <v>14230</v>
      </c>
      <c r="R21" s="424">
        <f>7483-2</f>
        <v>7481</v>
      </c>
      <c r="S21" s="424">
        <v>21711</v>
      </c>
      <c r="T21" s="424">
        <v>11383</v>
      </c>
      <c r="U21" s="424">
        <v>33094</v>
      </c>
      <c r="V21" s="483"/>
      <c r="W21" s="569">
        <v>7211</v>
      </c>
      <c r="X21" s="424">
        <f t="shared" si="0"/>
        <v>7710</v>
      </c>
      <c r="Y21" s="424">
        <v>14921</v>
      </c>
      <c r="Z21" s="408">
        <f t="shared" si="1"/>
        <v>7117</v>
      </c>
      <c r="AA21" s="424">
        <v>22038</v>
      </c>
      <c r="AB21" s="408">
        <f t="shared" si="1"/>
        <v>6628.4150000000009</v>
      </c>
      <c r="AC21" s="86">
        <v>28666.415000000001</v>
      </c>
      <c r="AD21" s="483"/>
      <c r="AE21" s="85">
        <f>5719</f>
        <v>5719</v>
      </c>
      <c r="AF21" s="424">
        <f t="shared" si="2"/>
        <v>5286.1035400000001</v>
      </c>
      <c r="AG21" s="424">
        <f>11005.10354</f>
        <v>11005.10354</v>
      </c>
      <c r="AH21" s="424">
        <f t="shared" si="3"/>
        <v>6126.8964599999999</v>
      </c>
      <c r="AI21" s="586">
        <f>16916+216</f>
        <v>17132</v>
      </c>
      <c r="AJ21" s="586">
        <f t="shared" si="4"/>
        <v>5899</v>
      </c>
      <c r="AK21" s="595">
        <f>22815+216</f>
        <v>23031</v>
      </c>
      <c r="AL21" s="274"/>
      <c r="AM21" s="85">
        <v>3736</v>
      </c>
      <c r="AN21" s="424">
        <v>3470</v>
      </c>
      <c r="AO21" s="424">
        <v>7206</v>
      </c>
      <c r="AP21" s="424">
        <v>4016</v>
      </c>
      <c r="AQ21" s="424">
        <v>11222</v>
      </c>
      <c r="AR21" s="424">
        <f t="shared" si="5"/>
        <v>5846</v>
      </c>
      <c r="AS21" s="86">
        <v>17068</v>
      </c>
      <c r="AT21" s="274"/>
      <c r="AU21" s="85">
        <v>2907</v>
      </c>
      <c r="AV21" s="424">
        <v>2223</v>
      </c>
      <c r="AW21" s="424">
        <v>5130</v>
      </c>
      <c r="AX21" s="424">
        <v>4134</v>
      </c>
      <c r="AY21" s="424">
        <v>9264</v>
      </c>
      <c r="AZ21" s="424">
        <v>5159</v>
      </c>
      <c r="BA21" s="86">
        <v>14423</v>
      </c>
      <c r="BB21" s="274"/>
      <c r="BC21" s="85">
        <v>2736</v>
      </c>
      <c r="BD21" s="38">
        <v>2745</v>
      </c>
      <c r="BE21" s="38">
        <v>5481</v>
      </c>
      <c r="BF21" s="38">
        <v>2542</v>
      </c>
      <c r="BG21" s="38">
        <v>8023</v>
      </c>
      <c r="BH21" s="38">
        <v>3120</v>
      </c>
      <c r="BI21" s="86">
        <v>11143</v>
      </c>
      <c r="BJ21" s="274"/>
      <c r="BK21" s="85">
        <v>2695</v>
      </c>
      <c r="BL21" s="38">
        <v>3055</v>
      </c>
      <c r="BM21" s="38">
        <v>5750</v>
      </c>
      <c r="BN21" s="38">
        <v>3099</v>
      </c>
      <c r="BO21" s="38">
        <v>8849</v>
      </c>
      <c r="BP21" s="38">
        <v>3466</v>
      </c>
      <c r="BQ21" s="86">
        <v>12315</v>
      </c>
    </row>
    <row r="22" spans="1:81" outlineLevel="1" x14ac:dyDescent="0.25">
      <c r="A22" s="310" t="s">
        <v>212</v>
      </c>
      <c r="B22" s="302" t="s">
        <v>14</v>
      </c>
      <c r="C22" s="274"/>
      <c r="D22" s="274"/>
      <c r="E22" s="740">
        <v>187.5</v>
      </c>
      <c r="F22" s="274"/>
      <c r="G22" s="569">
        <v>187.5</v>
      </c>
      <c r="H22" s="424">
        <v>187.5</v>
      </c>
      <c r="I22" s="424">
        <v>375</v>
      </c>
      <c r="J22" s="424">
        <v>187.5</v>
      </c>
      <c r="K22" s="424">
        <v>562.5</v>
      </c>
      <c r="L22" s="424">
        <v>187.5</v>
      </c>
      <c r="M22" s="86">
        <v>750</v>
      </c>
      <c r="N22" s="274"/>
      <c r="O22" s="569">
        <v>188</v>
      </c>
      <c r="P22" s="424">
        <v>187</v>
      </c>
      <c r="Q22" s="424">
        <v>375</v>
      </c>
      <c r="R22" s="424">
        <v>188</v>
      </c>
      <c r="S22" s="424">
        <v>563</v>
      </c>
      <c r="T22" s="424">
        <v>188</v>
      </c>
      <c r="U22" s="424">
        <v>751</v>
      </c>
      <c r="V22" s="483"/>
      <c r="W22" s="569">
        <v>188</v>
      </c>
      <c r="X22" s="424">
        <f t="shared" si="0"/>
        <v>187</v>
      </c>
      <c r="Y22" s="424">
        <v>375</v>
      </c>
      <c r="Z22" s="408">
        <f t="shared" si="1"/>
        <v>188</v>
      </c>
      <c r="AA22" s="424">
        <v>563</v>
      </c>
      <c r="AB22" s="408">
        <f t="shared" si="1"/>
        <v>187</v>
      </c>
      <c r="AC22" s="86">
        <v>750</v>
      </c>
      <c r="AD22" s="483"/>
      <c r="AE22" s="85">
        <v>188</v>
      </c>
      <c r="AF22" s="424">
        <f t="shared" si="2"/>
        <v>187</v>
      </c>
      <c r="AG22" s="424">
        <v>375</v>
      </c>
      <c r="AH22" s="424">
        <f t="shared" si="3"/>
        <v>188</v>
      </c>
      <c r="AI22" s="586">
        <v>563</v>
      </c>
      <c r="AJ22" s="586">
        <f t="shared" si="4"/>
        <v>187</v>
      </c>
      <c r="AK22" s="595">
        <v>750</v>
      </c>
      <c r="AL22" s="274"/>
      <c r="AM22" s="85">
        <v>188</v>
      </c>
      <c r="AN22" s="424">
        <v>187</v>
      </c>
      <c r="AO22" s="424">
        <v>375</v>
      </c>
      <c r="AP22" s="424">
        <v>188</v>
      </c>
      <c r="AQ22" s="424">
        <v>563</v>
      </c>
      <c r="AR22" s="424">
        <f t="shared" si="5"/>
        <v>187</v>
      </c>
      <c r="AS22" s="86">
        <v>750</v>
      </c>
      <c r="AT22" s="274"/>
      <c r="AU22" s="85">
        <v>188</v>
      </c>
      <c r="AV22" s="424">
        <v>187</v>
      </c>
      <c r="AW22" s="424">
        <v>375</v>
      </c>
      <c r="AX22" s="424">
        <v>188</v>
      </c>
      <c r="AY22" s="424">
        <v>563</v>
      </c>
      <c r="AZ22" s="424">
        <v>187</v>
      </c>
      <c r="BA22" s="86">
        <v>750</v>
      </c>
      <c r="BB22" s="274"/>
      <c r="BC22" s="85">
        <v>188</v>
      </c>
      <c r="BD22" s="38">
        <v>187</v>
      </c>
      <c r="BE22" s="38">
        <v>375</v>
      </c>
      <c r="BF22" s="38">
        <v>188</v>
      </c>
      <c r="BG22" s="38">
        <v>563</v>
      </c>
      <c r="BH22" s="38">
        <v>187</v>
      </c>
      <c r="BI22" s="86">
        <v>750</v>
      </c>
      <c r="BJ22" s="274"/>
      <c r="BK22" s="85">
        <v>94</v>
      </c>
      <c r="BL22" s="38">
        <v>187</v>
      </c>
      <c r="BM22" s="38">
        <v>281</v>
      </c>
      <c r="BN22" s="38">
        <v>189</v>
      </c>
      <c r="BO22" s="38">
        <v>470</v>
      </c>
      <c r="BP22" s="38">
        <v>188</v>
      </c>
      <c r="BQ22" s="86">
        <v>658</v>
      </c>
    </row>
    <row r="23" spans="1:81" outlineLevel="1" x14ac:dyDescent="0.25">
      <c r="A23" s="310" t="s">
        <v>213</v>
      </c>
      <c r="B23" s="302" t="s">
        <v>15</v>
      </c>
      <c r="C23" s="274"/>
      <c r="D23" s="274"/>
      <c r="E23" s="740">
        <v>3338.1689999999999</v>
      </c>
      <c r="F23" s="274"/>
      <c r="G23" s="569">
        <v>3461.4969999999998</v>
      </c>
      <c r="H23" s="424">
        <v>3464.16</v>
      </c>
      <c r="I23" s="424">
        <v>6925.6570000000002</v>
      </c>
      <c r="J23" s="424">
        <v>3460.1660000000002</v>
      </c>
      <c r="K23" s="424">
        <v>10385.823</v>
      </c>
      <c r="L23" s="424">
        <v>3458.1689999999999</v>
      </c>
      <c r="M23" s="86">
        <v>13843.992</v>
      </c>
      <c r="N23" s="274"/>
      <c r="O23" s="569">
        <v>2407</v>
      </c>
      <c r="P23" s="424">
        <v>2406</v>
      </c>
      <c r="Q23" s="424">
        <v>4813</v>
      </c>
      <c r="R23" s="424">
        <v>2406</v>
      </c>
      <c r="S23" s="424">
        <v>7219</v>
      </c>
      <c r="T23" s="424">
        <v>3456</v>
      </c>
      <c r="U23" s="424">
        <v>10675</v>
      </c>
      <c r="V23" s="483"/>
      <c r="W23" s="569">
        <v>2409</v>
      </c>
      <c r="X23" s="424">
        <f t="shared" si="0"/>
        <v>2408</v>
      </c>
      <c r="Y23" s="424">
        <v>4817</v>
      </c>
      <c r="Z23" s="405">
        <f t="shared" si="1"/>
        <v>2409</v>
      </c>
      <c r="AA23" s="424">
        <v>7226</v>
      </c>
      <c r="AB23" s="405">
        <f t="shared" si="1"/>
        <v>2408.0669999999991</v>
      </c>
      <c r="AC23" s="86">
        <v>9634.0669999999991</v>
      </c>
      <c r="AD23" s="483"/>
      <c r="AE23" s="85">
        <f>2398</f>
        <v>2398</v>
      </c>
      <c r="AF23" s="424">
        <f t="shared" si="2"/>
        <v>2442</v>
      </c>
      <c r="AG23" s="424">
        <f>4840</f>
        <v>4840</v>
      </c>
      <c r="AH23" s="424">
        <f t="shared" si="3"/>
        <v>2408</v>
      </c>
      <c r="AI23" s="586">
        <v>7248</v>
      </c>
      <c r="AJ23" s="586">
        <f t="shared" si="4"/>
        <v>2409</v>
      </c>
      <c r="AK23" s="595">
        <v>9657</v>
      </c>
      <c r="AL23" s="274"/>
      <c r="AM23" s="85">
        <v>1476</v>
      </c>
      <c r="AN23" s="424">
        <v>2053</v>
      </c>
      <c r="AO23" s="424">
        <v>3529</v>
      </c>
      <c r="AP23" s="424">
        <v>2052</v>
      </c>
      <c r="AQ23" s="424">
        <v>5581</v>
      </c>
      <c r="AR23" s="424">
        <f t="shared" si="5"/>
        <v>2398</v>
      </c>
      <c r="AS23" s="86">
        <v>7979</v>
      </c>
      <c r="AT23" s="274"/>
      <c r="AU23" s="85">
        <v>2058</v>
      </c>
      <c r="AV23" s="424">
        <v>2059</v>
      </c>
      <c r="AW23" s="424">
        <v>4117</v>
      </c>
      <c r="AX23" s="424">
        <v>2103</v>
      </c>
      <c r="AY23" s="424">
        <v>6220</v>
      </c>
      <c r="AZ23" s="424">
        <v>2103</v>
      </c>
      <c r="BA23" s="86">
        <v>8323</v>
      </c>
      <c r="BB23" s="274"/>
      <c r="BC23" s="85">
        <v>2058</v>
      </c>
      <c r="BD23" s="38">
        <v>2059</v>
      </c>
      <c r="BE23" s="38">
        <v>4117</v>
      </c>
      <c r="BF23" s="38">
        <v>2058</v>
      </c>
      <c r="BG23" s="38">
        <v>6175</v>
      </c>
      <c r="BH23" s="38">
        <v>2058</v>
      </c>
      <c r="BI23" s="86">
        <v>8233</v>
      </c>
      <c r="BJ23" s="274"/>
      <c r="BK23" s="85">
        <v>0</v>
      </c>
      <c r="BL23" s="38">
        <v>2744</v>
      </c>
      <c r="BM23" s="38">
        <v>2744</v>
      </c>
      <c r="BN23" s="38">
        <v>2059</v>
      </c>
      <c r="BO23" s="38">
        <v>4803</v>
      </c>
      <c r="BP23" s="38">
        <v>2058</v>
      </c>
      <c r="BQ23" s="86">
        <v>6861</v>
      </c>
    </row>
    <row r="24" spans="1:81" ht="17.25" outlineLevel="1" x14ac:dyDescent="0.4">
      <c r="A24" s="310" t="s">
        <v>234</v>
      </c>
      <c r="B24" s="302" t="s">
        <v>16</v>
      </c>
      <c r="C24" s="274"/>
      <c r="D24" s="274"/>
      <c r="E24" s="741">
        <v>0</v>
      </c>
      <c r="F24" s="274"/>
      <c r="G24" s="571">
        <v>0</v>
      </c>
      <c r="H24" s="428">
        <v>0</v>
      </c>
      <c r="I24" s="428">
        <v>0</v>
      </c>
      <c r="J24" s="428">
        <v>0</v>
      </c>
      <c r="K24" s="428">
        <v>0</v>
      </c>
      <c r="L24" s="428">
        <v>0</v>
      </c>
      <c r="M24" s="273">
        <v>0</v>
      </c>
      <c r="N24" s="274"/>
      <c r="O24" s="571">
        <v>0</v>
      </c>
      <c r="P24" s="428">
        <v>0</v>
      </c>
      <c r="Q24" s="428">
        <v>0</v>
      </c>
      <c r="R24" s="428">
        <v>0</v>
      </c>
      <c r="S24" s="428">
        <v>0</v>
      </c>
      <c r="T24" s="428">
        <v>0</v>
      </c>
      <c r="U24" s="428">
        <v>0</v>
      </c>
      <c r="V24" s="483"/>
      <c r="W24" s="571">
        <v>0</v>
      </c>
      <c r="X24" s="428">
        <v>0</v>
      </c>
      <c r="Y24" s="428">
        <v>0</v>
      </c>
      <c r="Z24" s="428">
        <f t="shared" si="1"/>
        <v>0</v>
      </c>
      <c r="AA24" s="428">
        <v>0</v>
      </c>
      <c r="AB24" s="428">
        <f t="shared" si="1"/>
        <v>0</v>
      </c>
      <c r="AC24" s="273">
        <v>0</v>
      </c>
      <c r="AD24" s="483"/>
      <c r="AE24" s="272">
        <v>0</v>
      </c>
      <c r="AF24" s="428">
        <f t="shared" si="2"/>
        <v>0</v>
      </c>
      <c r="AG24" s="428">
        <v>0</v>
      </c>
      <c r="AH24" s="428">
        <f t="shared" si="3"/>
        <v>0</v>
      </c>
      <c r="AI24" s="428">
        <v>0</v>
      </c>
      <c r="AJ24" s="428">
        <f t="shared" si="4"/>
        <v>0</v>
      </c>
      <c r="AK24" s="273">
        <v>0</v>
      </c>
      <c r="AL24" s="274"/>
      <c r="AM24" s="272">
        <v>0</v>
      </c>
      <c r="AN24" s="428">
        <v>0</v>
      </c>
      <c r="AO24" s="428">
        <v>0</v>
      </c>
      <c r="AP24" s="428">
        <v>0</v>
      </c>
      <c r="AQ24" s="428">
        <v>0</v>
      </c>
      <c r="AR24" s="428">
        <f t="shared" si="5"/>
        <v>0</v>
      </c>
      <c r="AS24" s="273">
        <v>0</v>
      </c>
      <c r="AT24" s="274"/>
      <c r="AU24" s="272">
        <v>0</v>
      </c>
      <c r="AV24" s="428">
        <v>0</v>
      </c>
      <c r="AW24" s="428">
        <v>0</v>
      </c>
      <c r="AX24" s="428">
        <v>0</v>
      </c>
      <c r="AY24" s="428">
        <v>0</v>
      </c>
      <c r="AZ24" s="428">
        <v>0</v>
      </c>
      <c r="BA24" s="273">
        <v>0</v>
      </c>
      <c r="BB24" s="274"/>
      <c r="BC24" s="272">
        <v>0</v>
      </c>
      <c r="BD24" s="271">
        <v>0</v>
      </c>
      <c r="BE24" s="271">
        <v>0</v>
      </c>
      <c r="BF24" s="271">
        <v>0</v>
      </c>
      <c r="BG24" s="271">
        <v>0</v>
      </c>
      <c r="BH24" s="271">
        <v>0</v>
      </c>
      <c r="BI24" s="273">
        <v>0</v>
      </c>
      <c r="BJ24" s="274"/>
      <c r="BK24" s="272">
        <v>0</v>
      </c>
      <c r="BL24" s="271">
        <v>0</v>
      </c>
      <c r="BM24" s="271">
        <v>0</v>
      </c>
      <c r="BN24" s="271">
        <v>0</v>
      </c>
      <c r="BO24" s="271">
        <v>0</v>
      </c>
      <c r="BP24" s="271">
        <v>0</v>
      </c>
      <c r="BQ24" s="273">
        <v>0</v>
      </c>
    </row>
    <row r="25" spans="1:81" x14ac:dyDescent="0.25">
      <c r="A25" s="310" t="s">
        <v>214</v>
      </c>
      <c r="B25" s="308" t="s">
        <v>17</v>
      </c>
      <c r="C25" s="274"/>
      <c r="D25" s="274"/>
      <c r="E25" s="706">
        <f>E20-SUM(E21:E24)</f>
        <v>1182.5160000000069</v>
      </c>
      <c r="F25" s="274"/>
      <c r="G25" s="567">
        <f>G20-SUM(G21:G24)</f>
        <v>4985.8319999999967</v>
      </c>
      <c r="H25" s="608">
        <f t="shared" ref="H25:I25" si="10">H20-SUM(H21:H24)</f>
        <v>7266.6339999999982</v>
      </c>
      <c r="I25" s="608">
        <f t="shared" si="10"/>
        <v>12252.466000000004</v>
      </c>
      <c r="J25" s="608">
        <f t="shared" ref="J25:M25" si="11">J20-SUM(J21:J24)</f>
        <v>5166.8470000000052</v>
      </c>
      <c r="K25" s="608">
        <f t="shared" si="11"/>
        <v>17419.313000000009</v>
      </c>
      <c r="L25" s="608">
        <f t="shared" si="11"/>
        <v>-2789.9289999999964</v>
      </c>
      <c r="M25" s="622">
        <f t="shared" si="11"/>
        <v>14629.384000000005</v>
      </c>
      <c r="N25" s="274"/>
      <c r="O25" s="567">
        <f>O20-SUM(O21:O24)</f>
        <v>6628</v>
      </c>
      <c r="P25" s="608">
        <f t="shared" ref="P25:Q25" si="12">P20-SUM(P21:P24)</f>
        <v>5156</v>
      </c>
      <c r="Q25" s="608">
        <f t="shared" si="12"/>
        <v>11784</v>
      </c>
      <c r="R25" s="608">
        <f t="shared" ref="R25:S25" si="13">R20-SUM(R21:R24)</f>
        <v>6003</v>
      </c>
      <c r="S25" s="608">
        <f t="shared" si="13"/>
        <v>17787</v>
      </c>
      <c r="T25" s="608">
        <f t="shared" ref="T25:U25" si="14">T20-SUM(T21:T24)</f>
        <v>3961</v>
      </c>
      <c r="U25" s="608">
        <f t="shared" si="14"/>
        <v>21748</v>
      </c>
      <c r="V25" s="483"/>
      <c r="W25" s="567">
        <f>W20-SUM(W21:W24)</f>
        <v>6934</v>
      </c>
      <c r="X25" s="423">
        <f t="shared" si="0"/>
        <v>9223</v>
      </c>
      <c r="Y25" s="423">
        <v>16157</v>
      </c>
      <c r="Z25" s="406">
        <f t="shared" si="1"/>
        <v>8749</v>
      </c>
      <c r="AA25" s="423">
        <v>24906</v>
      </c>
      <c r="AB25" s="406">
        <f t="shared" si="1"/>
        <v>9659.7050000000017</v>
      </c>
      <c r="AC25" s="40">
        <v>34565.705000000002</v>
      </c>
      <c r="AD25" s="483"/>
      <c r="AE25" s="567">
        <f>AE20-SUM(AE21:AE24)</f>
        <v>5834</v>
      </c>
      <c r="AF25" s="423">
        <f t="shared" si="2"/>
        <v>5907.8964599999999</v>
      </c>
      <c r="AG25" s="423">
        <f>AG20-SUM(AG21:AG24)</f>
        <v>11741.89646</v>
      </c>
      <c r="AH25" s="423">
        <f t="shared" ref="AH25:AJ25" si="15">AH20-SUM(AH21:AH24)</f>
        <v>6561.1035400000001</v>
      </c>
      <c r="AI25" s="423">
        <f t="shared" si="15"/>
        <v>18303</v>
      </c>
      <c r="AJ25" s="423">
        <f t="shared" si="15"/>
        <v>6288</v>
      </c>
      <c r="AK25" s="40">
        <f>AK20-SUM(AK21:AK24)</f>
        <v>24591</v>
      </c>
      <c r="AL25" s="274"/>
      <c r="AM25" s="84">
        <v>4684</v>
      </c>
      <c r="AN25" s="423">
        <v>3548</v>
      </c>
      <c r="AO25" s="423">
        <v>8232</v>
      </c>
      <c r="AP25" s="423">
        <v>5380</v>
      </c>
      <c r="AQ25" s="423">
        <v>13612</v>
      </c>
      <c r="AR25" s="423">
        <f t="shared" si="5"/>
        <v>4350</v>
      </c>
      <c r="AS25" s="40">
        <v>17962</v>
      </c>
      <c r="AT25" s="274"/>
      <c r="AU25" s="84">
        <v>3512</v>
      </c>
      <c r="AV25" s="423">
        <v>2847</v>
      </c>
      <c r="AW25" s="423">
        <v>6359</v>
      </c>
      <c r="AX25" s="423">
        <v>4759</v>
      </c>
      <c r="AY25" s="423">
        <v>11118</v>
      </c>
      <c r="AZ25" s="423">
        <v>4821</v>
      </c>
      <c r="BA25" s="40">
        <v>15939</v>
      </c>
      <c r="BB25" s="274"/>
      <c r="BC25" s="84">
        <v>3506</v>
      </c>
      <c r="BD25" s="39">
        <v>4364</v>
      </c>
      <c r="BE25" s="39">
        <v>7870</v>
      </c>
      <c r="BF25" s="39">
        <v>4141</v>
      </c>
      <c r="BG25" s="39">
        <v>12011</v>
      </c>
      <c r="BH25" s="39">
        <v>2281</v>
      </c>
      <c r="BI25" s="40">
        <v>14292</v>
      </c>
      <c r="BJ25" s="274"/>
      <c r="BK25" s="84">
        <v>725</v>
      </c>
      <c r="BL25" s="39">
        <v>3031</v>
      </c>
      <c r="BM25" s="39">
        <v>3756</v>
      </c>
      <c r="BN25" s="39">
        <v>4100</v>
      </c>
      <c r="BO25" s="39">
        <v>7856</v>
      </c>
      <c r="BP25" s="39">
        <v>3142</v>
      </c>
      <c r="BQ25" s="40">
        <v>10998</v>
      </c>
    </row>
    <row r="26" spans="1:81" outlineLevel="1" x14ac:dyDescent="0.25">
      <c r="A26" s="310" t="s">
        <v>217</v>
      </c>
      <c r="B26" s="302" t="s">
        <v>18</v>
      </c>
      <c r="C26" s="274"/>
      <c r="D26" s="274"/>
      <c r="E26" s="740">
        <v>-10205.122000000001</v>
      </c>
      <c r="F26" s="274"/>
      <c r="G26" s="569">
        <v>346.69600000000003</v>
      </c>
      <c r="H26" s="424">
        <v>505.28199999999998</v>
      </c>
      <c r="I26" s="424">
        <v>851.97799999999995</v>
      </c>
      <c r="J26" s="424">
        <v>1718.92</v>
      </c>
      <c r="K26" s="424">
        <v>2570.8980000000001</v>
      </c>
      <c r="L26" s="424">
        <v>2302.7299999999996</v>
      </c>
      <c r="M26" s="86">
        <v>4873.6279999999997</v>
      </c>
      <c r="N26" s="274"/>
      <c r="O26" s="569">
        <v>3298</v>
      </c>
      <c r="P26" s="424">
        <v>-511</v>
      </c>
      <c r="Q26" s="424">
        <v>2787</v>
      </c>
      <c r="R26" s="424">
        <v>120</v>
      </c>
      <c r="S26" s="424">
        <v>2907</v>
      </c>
      <c r="T26" s="424">
        <v>155</v>
      </c>
      <c r="U26" s="424">
        <v>3062</v>
      </c>
      <c r="V26" s="483"/>
      <c r="W26" s="569">
        <v>266</v>
      </c>
      <c r="X26" s="424">
        <f t="shared" si="0"/>
        <v>422</v>
      </c>
      <c r="Y26" s="424">
        <v>688</v>
      </c>
      <c r="Z26" s="408">
        <f t="shared" si="1"/>
        <v>-302</v>
      </c>
      <c r="AA26" s="424">
        <v>386</v>
      </c>
      <c r="AB26" s="408">
        <f t="shared" si="1"/>
        <v>1299.854</v>
      </c>
      <c r="AC26" s="86">
        <v>1685.854</v>
      </c>
      <c r="AD26" s="483"/>
      <c r="AE26" s="85">
        <v>374</v>
      </c>
      <c r="AF26" s="424">
        <f t="shared" si="2"/>
        <v>-141</v>
      </c>
      <c r="AG26" s="424">
        <v>233</v>
      </c>
      <c r="AH26" s="424">
        <f t="shared" si="3"/>
        <v>170</v>
      </c>
      <c r="AI26" s="424">
        <v>403</v>
      </c>
      <c r="AJ26" s="424">
        <f t="shared" si="4"/>
        <v>610</v>
      </c>
      <c r="AK26" s="86">
        <v>1013</v>
      </c>
      <c r="AL26" s="274"/>
      <c r="AM26" s="85">
        <v>-204</v>
      </c>
      <c r="AN26" s="424">
        <v>189</v>
      </c>
      <c r="AO26" s="424">
        <v>-15</v>
      </c>
      <c r="AP26" s="424">
        <v>-207</v>
      </c>
      <c r="AQ26" s="424">
        <v>-222</v>
      </c>
      <c r="AR26" s="424">
        <f t="shared" si="5"/>
        <v>137</v>
      </c>
      <c r="AS26" s="86">
        <v>-85</v>
      </c>
      <c r="AT26" s="274"/>
      <c r="AU26" s="85">
        <v>-727</v>
      </c>
      <c r="AV26" s="424">
        <v>286</v>
      </c>
      <c r="AW26" s="424">
        <v>-441</v>
      </c>
      <c r="AX26" s="424">
        <v>190</v>
      </c>
      <c r="AY26" s="424">
        <v>-251</v>
      </c>
      <c r="AZ26" s="424">
        <v>460</v>
      </c>
      <c r="BA26" s="86">
        <v>209</v>
      </c>
      <c r="BB26" s="274"/>
      <c r="BC26" s="85">
        <v>86</v>
      </c>
      <c r="BD26" s="38">
        <v>377</v>
      </c>
      <c r="BE26" s="38">
        <v>463</v>
      </c>
      <c r="BF26" s="38">
        <v>-2</v>
      </c>
      <c r="BG26" s="38">
        <v>461</v>
      </c>
      <c r="BH26" s="38">
        <v>1055</v>
      </c>
      <c r="BI26" s="86">
        <v>1516</v>
      </c>
      <c r="BJ26" s="274"/>
      <c r="BK26" s="85">
        <v>153</v>
      </c>
      <c r="BL26" s="38">
        <v>114</v>
      </c>
      <c r="BM26" s="38">
        <v>267</v>
      </c>
      <c r="BN26" s="38">
        <v>472</v>
      </c>
      <c r="BO26" s="38">
        <v>739</v>
      </c>
      <c r="BP26" s="38">
        <v>-224</v>
      </c>
      <c r="BQ26" s="86">
        <v>515</v>
      </c>
    </row>
    <row r="27" spans="1:81" outlineLevel="1" x14ac:dyDescent="0.25">
      <c r="A27" s="310" t="s">
        <v>215</v>
      </c>
      <c r="B27" s="302" t="s">
        <v>19</v>
      </c>
      <c r="C27" s="274"/>
      <c r="D27" s="274"/>
      <c r="E27" s="740">
        <v>0</v>
      </c>
      <c r="F27" s="274"/>
      <c r="G27" s="569">
        <v>0</v>
      </c>
      <c r="H27" s="424">
        <v>0</v>
      </c>
      <c r="I27" s="424">
        <v>0</v>
      </c>
      <c r="J27" s="424">
        <v>0</v>
      </c>
      <c r="K27" s="424">
        <v>0</v>
      </c>
      <c r="L27" s="424">
        <v>-160.196</v>
      </c>
      <c r="M27" s="86">
        <v>-160.196</v>
      </c>
      <c r="N27" s="274"/>
      <c r="O27" s="569">
        <v>0</v>
      </c>
      <c r="P27" s="424">
        <v>0</v>
      </c>
      <c r="Q27" s="424">
        <v>0</v>
      </c>
      <c r="R27" s="424">
        <v>0</v>
      </c>
      <c r="S27" s="424">
        <v>0</v>
      </c>
      <c r="T27" s="424">
        <v>0</v>
      </c>
      <c r="U27" s="424">
        <v>0</v>
      </c>
      <c r="V27" s="483"/>
      <c r="W27" s="569">
        <v>0</v>
      </c>
      <c r="X27" s="424">
        <f t="shared" si="0"/>
        <v>0</v>
      </c>
      <c r="Y27" s="424">
        <v>0</v>
      </c>
      <c r="Z27" s="408">
        <f t="shared" si="1"/>
        <v>0</v>
      </c>
      <c r="AA27" s="424">
        <v>0</v>
      </c>
      <c r="AB27" s="408">
        <f t="shared" si="1"/>
        <v>0</v>
      </c>
      <c r="AC27" s="86">
        <v>0</v>
      </c>
      <c r="AD27" s="483"/>
      <c r="AE27" s="85">
        <v>0</v>
      </c>
      <c r="AF27" s="424">
        <f t="shared" si="2"/>
        <v>0</v>
      </c>
      <c r="AG27" s="424">
        <v>0</v>
      </c>
      <c r="AH27" s="424">
        <f t="shared" si="3"/>
        <v>0</v>
      </c>
      <c r="AI27" s="424">
        <v>0</v>
      </c>
      <c r="AJ27" s="424">
        <f t="shared" si="4"/>
        <v>0</v>
      </c>
      <c r="AK27" s="86">
        <v>0</v>
      </c>
      <c r="AL27" s="274"/>
      <c r="AM27" s="85">
        <v>0</v>
      </c>
      <c r="AN27" s="424">
        <v>0</v>
      </c>
      <c r="AO27" s="424">
        <v>0</v>
      </c>
      <c r="AP27" s="424">
        <v>0</v>
      </c>
      <c r="AQ27" s="424">
        <v>0</v>
      </c>
      <c r="AR27" s="424">
        <f t="shared" si="5"/>
        <v>-1</v>
      </c>
      <c r="AS27" s="86">
        <v>-1</v>
      </c>
      <c r="AT27" s="274"/>
      <c r="AU27" s="85">
        <v>0</v>
      </c>
      <c r="AV27" s="424">
        <v>0</v>
      </c>
      <c r="AW27" s="424">
        <v>0</v>
      </c>
      <c r="AX27" s="424">
        <v>0</v>
      </c>
      <c r="AY27" s="424">
        <v>0</v>
      </c>
      <c r="AZ27" s="424">
        <v>0</v>
      </c>
      <c r="BA27" s="86">
        <v>0</v>
      </c>
      <c r="BB27" s="274"/>
      <c r="BC27" s="85">
        <v>0</v>
      </c>
      <c r="BD27" s="38">
        <v>0</v>
      </c>
      <c r="BE27" s="38">
        <v>0</v>
      </c>
      <c r="BF27" s="38">
        <v>0</v>
      </c>
      <c r="BG27" s="38">
        <v>0</v>
      </c>
      <c r="BH27" s="38">
        <v>0</v>
      </c>
      <c r="BI27" s="86">
        <v>0</v>
      </c>
      <c r="BJ27" s="274"/>
      <c r="BK27" s="85">
        <v>0</v>
      </c>
      <c r="BL27" s="38">
        <v>2</v>
      </c>
      <c r="BM27" s="38">
        <v>2</v>
      </c>
      <c r="BN27" s="38">
        <v>-2</v>
      </c>
      <c r="BO27" s="38">
        <v>0</v>
      </c>
      <c r="BP27" s="38">
        <v>0</v>
      </c>
      <c r="BQ27" s="86">
        <v>0</v>
      </c>
    </row>
    <row r="28" spans="1:81" outlineLevel="1" x14ac:dyDescent="0.25">
      <c r="A28" s="310" t="s">
        <v>216</v>
      </c>
      <c r="B28" s="302" t="s">
        <v>20</v>
      </c>
      <c r="C28" s="274"/>
      <c r="D28" s="274"/>
      <c r="E28" s="740">
        <v>3882.8969999999999</v>
      </c>
      <c r="F28" s="274"/>
      <c r="G28" s="569">
        <v>4853.973</v>
      </c>
      <c r="H28" s="424">
        <v>4698.93</v>
      </c>
      <c r="I28" s="424">
        <v>9552.9030000000002</v>
      </c>
      <c r="J28" s="424">
        <v>4426.8289999999997</v>
      </c>
      <c r="K28" s="424">
        <v>13979.732</v>
      </c>
      <c r="L28" s="424">
        <v>4174.7659999999996</v>
      </c>
      <c r="M28" s="86">
        <v>18154.498</v>
      </c>
      <c r="N28" s="274"/>
      <c r="O28" s="569">
        <v>2009</v>
      </c>
      <c r="P28" s="424">
        <v>1868</v>
      </c>
      <c r="Q28" s="424">
        <v>3877</v>
      </c>
      <c r="R28" s="424">
        <v>1735</v>
      </c>
      <c r="S28" s="424">
        <v>5612</v>
      </c>
      <c r="T28" s="424">
        <v>5159</v>
      </c>
      <c r="U28" s="424">
        <v>10771</v>
      </c>
      <c r="V28" s="483"/>
      <c r="W28" s="569">
        <v>2874</v>
      </c>
      <c r="X28" s="424">
        <f t="shared" si="0"/>
        <v>2760</v>
      </c>
      <c r="Y28" s="424">
        <v>5634</v>
      </c>
      <c r="Z28" s="408">
        <f t="shared" si="1"/>
        <v>2549</v>
      </c>
      <c r="AA28" s="424">
        <v>8183</v>
      </c>
      <c r="AB28" s="408">
        <f t="shared" si="1"/>
        <v>2302.7980000000007</v>
      </c>
      <c r="AC28" s="86">
        <v>10485.798000000001</v>
      </c>
      <c r="AD28" s="483"/>
      <c r="AE28" s="85">
        <v>2465</v>
      </c>
      <c r="AF28" s="424">
        <f t="shared" si="2"/>
        <v>2558</v>
      </c>
      <c r="AG28" s="424">
        <v>5023</v>
      </c>
      <c r="AH28" s="424">
        <f t="shared" si="3"/>
        <v>2821</v>
      </c>
      <c r="AI28" s="424">
        <v>7844</v>
      </c>
      <c r="AJ28" s="424">
        <f t="shared" si="4"/>
        <v>2898</v>
      </c>
      <c r="AK28" s="86">
        <v>10742</v>
      </c>
      <c r="AL28" s="274"/>
      <c r="AM28" s="85">
        <v>1738</v>
      </c>
      <c r="AN28" s="424">
        <v>1680</v>
      </c>
      <c r="AO28" s="424">
        <v>3418</v>
      </c>
      <c r="AP28" s="424">
        <v>1657</v>
      </c>
      <c r="AQ28" s="424">
        <v>5075</v>
      </c>
      <c r="AR28" s="424">
        <f t="shared" si="5"/>
        <v>2483</v>
      </c>
      <c r="AS28" s="86">
        <v>7558</v>
      </c>
      <c r="AT28" s="274"/>
      <c r="AU28" s="85">
        <v>1838</v>
      </c>
      <c r="AV28" s="424">
        <v>1675</v>
      </c>
      <c r="AW28" s="424">
        <v>3513</v>
      </c>
      <c r="AX28" s="424">
        <v>1777</v>
      </c>
      <c r="AY28" s="424">
        <v>5290</v>
      </c>
      <c r="AZ28" s="424">
        <v>1794</v>
      </c>
      <c r="BA28" s="86">
        <v>7084</v>
      </c>
      <c r="BB28" s="274"/>
      <c r="BC28" s="85">
        <v>2277</v>
      </c>
      <c r="BD28" s="38">
        <v>2247</v>
      </c>
      <c r="BE28" s="38">
        <v>4524</v>
      </c>
      <c r="BF28" s="38">
        <v>2151</v>
      </c>
      <c r="BG28" s="38">
        <v>6675</v>
      </c>
      <c r="BH28" s="38">
        <v>1960</v>
      </c>
      <c r="BI28" s="86">
        <v>8635</v>
      </c>
      <c r="BJ28" s="274"/>
      <c r="BK28" s="85">
        <v>1172</v>
      </c>
      <c r="BL28" s="38">
        <v>2339</v>
      </c>
      <c r="BM28" s="38">
        <v>3511</v>
      </c>
      <c r="BN28" s="38">
        <v>2387</v>
      </c>
      <c r="BO28" s="38">
        <v>5898</v>
      </c>
      <c r="BP28" s="38">
        <v>2330</v>
      </c>
      <c r="BQ28" s="86">
        <v>8228</v>
      </c>
    </row>
    <row r="29" spans="1:81" ht="17.25" outlineLevel="1" x14ac:dyDescent="0.4">
      <c r="A29" s="310" t="s">
        <v>218</v>
      </c>
      <c r="B29" s="302" t="s">
        <v>21</v>
      </c>
      <c r="C29" s="274"/>
      <c r="D29" s="274"/>
      <c r="E29" s="741">
        <v>2457.8820000000001</v>
      </c>
      <c r="F29" s="274"/>
      <c r="G29" s="571">
        <v>12.997</v>
      </c>
      <c r="H29" s="428">
        <v>628.61599999999999</v>
      </c>
      <c r="I29" s="428">
        <v>641.61300000000006</v>
      </c>
      <c r="J29" s="428">
        <v>-264.803</v>
      </c>
      <c r="K29" s="428">
        <v>376.81</v>
      </c>
      <c r="L29" s="428">
        <v>-1544.662</v>
      </c>
      <c r="M29" s="273">
        <v>-1167.8520000000001</v>
      </c>
      <c r="N29" s="274"/>
      <c r="O29" s="571">
        <v>628</v>
      </c>
      <c r="P29" s="428">
        <v>1098</v>
      </c>
      <c r="Q29" s="428">
        <v>1726</v>
      </c>
      <c r="R29" s="428">
        <v>1466</v>
      </c>
      <c r="S29" s="428">
        <v>3192</v>
      </c>
      <c r="T29" s="428">
        <v>-912</v>
      </c>
      <c r="U29" s="428">
        <v>2280</v>
      </c>
      <c r="V29" s="483"/>
      <c r="W29" s="571">
        <v>1093</v>
      </c>
      <c r="X29" s="428">
        <f t="shared" si="0"/>
        <v>1540</v>
      </c>
      <c r="Y29" s="428">
        <v>2633</v>
      </c>
      <c r="Z29" s="410">
        <f t="shared" si="1"/>
        <v>1460</v>
      </c>
      <c r="AA29" s="428">
        <v>4093</v>
      </c>
      <c r="AB29" s="410">
        <f t="shared" si="1"/>
        <v>1797.4189999999999</v>
      </c>
      <c r="AC29" s="273">
        <v>5890.4189999999999</v>
      </c>
      <c r="AD29" s="483"/>
      <c r="AE29" s="272">
        <v>1059</v>
      </c>
      <c r="AF29" s="428">
        <f t="shared" si="2"/>
        <v>1043</v>
      </c>
      <c r="AG29" s="428">
        <v>2102</v>
      </c>
      <c r="AH29" s="428">
        <f t="shared" si="3"/>
        <v>805</v>
      </c>
      <c r="AI29" s="428">
        <v>2907</v>
      </c>
      <c r="AJ29" s="428">
        <f t="shared" si="4"/>
        <v>267</v>
      </c>
      <c r="AK29" s="273">
        <v>3174</v>
      </c>
      <c r="AL29" s="274"/>
      <c r="AM29" s="272">
        <v>935</v>
      </c>
      <c r="AN29" s="428">
        <v>596</v>
      </c>
      <c r="AO29" s="428">
        <v>1531</v>
      </c>
      <c r="AP29" s="428">
        <v>1336</v>
      </c>
      <c r="AQ29" s="428">
        <v>2867</v>
      </c>
      <c r="AR29" s="428">
        <f t="shared" si="5"/>
        <v>-248</v>
      </c>
      <c r="AS29" s="273">
        <v>2619</v>
      </c>
      <c r="AT29" s="274"/>
      <c r="AU29" s="272">
        <v>1032</v>
      </c>
      <c r="AV29" s="428">
        <v>109</v>
      </c>
      <c r="AW29" s="428">
        <v>1141</v>
      </c>
      <c r="AX29" s="428">
        <v>750</v>
      </c>
      <c r="AY29" s="428">
        <v>1891</v>
      </c>
      <c r="AZ29" s="428">
        <v>663</v>
      </c>
      <c r="BA29" s="273">
        <v>2554</v>
      </c>
      <c r="BB29" s="274"/>
      <c r="BC29" s="272">
        <v>539</v>
      </c>
      <c r="BD29" s="271">
        <v>438</v>
      </c>
      <c r="BE29" s="271">
        <v>977</v>
      </c>
      <c r="BF29" s="271">
        <v>515</v>
      </c>
      <c r="BG29" s="271">
        <v>1492</v>
      </c>
      <c r="BH29" s="271">
        <v>-234</v>
      </c>
      <c r="BI29" s="273">
        <v>1258</v>
      </c>
      <c r="BJ29" s="274"/>
      <c r="BK29" s="272">
        <v>-3</v>
      </c>
      <c r="BL29" s="271">
        <v>-205</v>
      </c>
      <c r="BM29" s="271">
        <v>-208</v>
      </c>
      <c r="BN29" s="271">
        <v>897</v>
      </c>
      <c r="BO29" s="271">
        <v>689</v>
      </c>
      <c r="BP29" s="271">
        <v>463</v>
      </c>
      <c r="BQ29" s="273">
        <v>1152</v>
      </c>
    </row>
    <row r="30" spans="1:81" x14ac:dyDescent="0.25">
      <c r="A30" s="310" t="s">
        <v>219</v>
      </c>
      <c r="B30" s="308" t="s">
        <v>24</v>
      </c>
      <c r="C30" s="274"/>
      <c r="D30" s="274"/>
      <c r="E30" s="706">
        <f>E25-SUM(E26:E29)</f>
        <v>5046.8590000000077</v>
      </c>
      <c r="F30" s="274"/>
      <c r="G30" s="567">
        <f>G25-SUM(G26:G29)</f>
        <v>-227.83400000000347</v>
      </c>
      <c r="H30" s="608">
        <f t="shared" ref="H30:M30" si="16">H25-SUM(H26:H29)</f>
        <v>1433.8059999999978</v>
      </c>
      <c r="I30" s="608">
        <f t="shared" si="16"/>
        <v>1205.9720000000052</v>
      </c>
      <c r="J30" s="608">
        <f t="shared" si="16"/>
        <v>-714.0989999999947</v>
      </c>
      <c r="K30" s="608">
        <f t="shared" si="16"/>
        <v>491.87300000000687</v>
      </c>
      <c r="L30" s="608">
        <f t="shared" si="16"/>
        <v>-7562.5669999999955</v>
      </c>
      <c r="M30" s="622">
        <f t="shared" si="16"/>
        <v>-7070.6939999999959</v>
      </c>
      <c r="N30" s="274"/>
      <c r="O30" s="567">
        <f>O25-SUM(O26:O29)</f>
        <v>693</v>
      </c>
      <c r="P30" s="608">
        <f t="shared" ref="P30:Q30" si="17">P25-SUM(P26:P29)</f>
        <v>2701</v>
      </c>
      <c r="Q30" s="608">
        <f t="shared" si="17"/>
        <v>3394</v>
      </c>
      <c r="R30" s="608">
        <f t="shared" ref="R30:S30" si="18">R25-SUM(R26:R29)</f>
        <v>2682</v>
      </c>
      <c r="S30" s="608">
        <f t="shared" si="18"/>
        <v>6076</v>
      </c>
      <c r="T30" s="608">
        <f t="shared" ref="T30:U30" si="19">T25-SUM(T26:T29)</f>
        <v>-441</v>
      </c>
      <c r="U30" s="608">
        <f t="shared" si="19"/>
        <v>5635</v>
      </c>
      <c r="V30" s="483"/>
      <c r="W30" s="567">
        <v>2701</v>
      </c>
      <c r="X30" s="423">
        <f t="shared" si="0"/>
        <v>4501</v>
      </c>
      <c r="Y30" s="423">
        <v>7202</v>
      </c>
      <c r="Z30" s="406">
        <f t="shared" si="1"/>
        <v>5042</v>
      </c>
      <c r="AA30" s="423">
        <v>12244</v>
      </c>
      <c r="AB30" s="406">
        <f t="shared" si="1"/>
        <v>4259.6339999999982</v>
      </c>
      <c r="AC30" s="40">
        <v>16503.633999999998</v>
      </c>
      <c r="AD30" s="483"/>
      <c r="AE30" s="84">
        <v>1936</v>
      </c>
      <c r="AF30" s="423">
        <f t="shared" si="2"/>
        <v>2448</v>
      </c>
      <c r="AG30" s="423">
        <v>4384</v>
      </c>
      <c r="AH30" s="423">
        <f t="shared" si="3"/>
        <v>2765</v>
      </c>
      <c r="AI30" s="423">
        <v>7149</v>
      </c>
      <c r="AJ30" s="423">
        <f t="shared" si="4"/>
        <v>2513</v>
      </c>
      <c r="AK30" s="40">
        <v>9662</v>
      </c>
      <c r="AL30" s="274"/>
      <c r="AM30" s="84">
        <v>2215</v>
      </c>
      <c r="AN30" s="423">
        <v>1083</v>
      </c>
      <c r="AO30" s="423">
        <v>3298</v>
      </c>
      <c r="AP30" s="423">
        <v>2594</v>
      </c>
      <c r="AQ30" s="423">
        <v>5892</v>
      </c>
      <c r="AR30" s="423">
        <f t="shared" si="5"/>
        <v>1979</v>
      </c>
      <c r="AS30" s="40">
        <v>7871</v>
      </c>
      <c r="AT30" s="274"/>
      <c r="AU30" s="84">
        <v>1369</v>
      </c>
      <c r="AV30" s="423">
        <v>777</v>
      </c>
      <c r="AW30" s="423">
        <v>2146</v>
      </c>
      <c r="AX30" s="423">
        <v>2042</v>
      </c>
      <c r="AY30" s="423">
        <v>4188</v>
      </c>
      <c r="AZ30" s="423">
        <v>1904</v>
      </c>
      <c r="BA30" s="40">
        <v>6092</v>
      </c>
      <c r="BB30" s="274"/>
      <c r="BC30" s="84">
        <v>604</v>
      </c>
      <c r="BD30" s="39">
        <v>1302</v>
      </c>
      <c r="BE30" s="39">
        <v>1906</v>
      </c>
      <c r="BF30" s="39">
        <v>1477</v>
      </c>
      <c r="BG30" s="39">
        <v>3383</v>
      </c>
      <c r="BH30" s="39">
        <v>-500</v>
      </c>
      <c r="BI30" s="40">
        <v>2883</v>
      </c>
      <c r="BJ30" s="274"/>
      <c r="BK30" s="84">
        <v>-597</v>
      </c>
      <c r="BL30" s="39">
        <v>781</v>
      </c>
      <c r="BM30" s="39">
        <v>184</v>
      </c>
      <c r="BN30" s="39">
        <v>346</v>
      </c>
      <c r="BO30" s="39">
        <v>530</v>
      </c>
      <c r="BP30" s="39">
        <v>573</v>
      </c>
      <c r="BQ30" s="40">
        <v>1103</v>
      </c>
    </row>
    <row r="31" spans="1:81" outlineLevel="1" x14ac:dyDescent="0.25">
      <c r="B31" s="307" t="s">
        <v>54</v>
      </c>
      <c r="C31" s="274"/>
      <c r="D31" s="274"/>
      <c r="E31" s="740"/>
      <c r="F31" s="274"/>
      <c r="G31" s="569"/>
      <c r="H31" s="423"/>
      <c r="I31" s="423"/>
      <c r="J31" s="423"/>
      <c r="K31" s="423"/>
      <c r="L31" s="423"/>
      <c r="M31" s="40"/>
      <c r="N31" s="274"/>
      <c r="O31" s="569"/>
      <c r="P31" s="423"/>
      <c r="Q31" s="423"/>
      <c r="R31" s="423"/>
      <c r="S31" s="423"/>
      <c r="T31" s="423"/>
      <c r="U31" s="423"/>
      <c r="V31" s="483"/>
      <c r="W31" s="569"/>
      <c r="X31" s="423"/>
      <c r="Y31" s="423"/>
      <c r="Z31" s="408"/>
      <c r="AA31" s="423"/>
      <c r="AB31" s="408"/>
      <c r="AC31" s="40"/>
      <c r="AD31" s="483"/>
      <c r="AE31" s="84"/>
      <c r="AF31" s="423">
        <f t="shared" si="2"/>
        <v>0</v>
      </c>
      <c r="AG31" s="423">
        <v>0</v>
      </c>
      <c r="AH31" s="423"/>
      <c r="AI31" s="423"/>
      <c r="AJ31" s="423">
        <f t="shared" si="4"/>
        <v>0</v>
      </c>
      <c r="AK31" s="40">
        <v>0</v>
      </c>
      <c r="AL31" s="274"/>
      <c r="AM31" s="84"/>
      <c r="AN31" s="423"/>
      <c r="AO31" s="423"/>
      <c r="AP31" s="423"/>
      <c r="AQ31" s="423"/>
      <c r="AR31" s="423"/>
      <c r="AS31" s="40"/>
      <c r="AT31" s="274"/>
      <c r="AU31" s="84"/>
      <c r="AV31" s="423"/>
      <c r="AW31" s="423"/>
      <c r="AX31" s="423"/>
      <c r="AY31" s="423"/>
      <c r="AZ31" s="423"/>
      <c r="BA31" s="40"/>
      <c r="BB31" s="274"/>
      <c r="BC31" s="84"/>
      <c r="BD31" s="39"/>
      <c r="BE31" s="39"/>
      <c r="BF31" s="39"/>
      <c r="BG31" s="39"/>
      <c r="BH31" s="39"/>
      <c r="BI31" s="40"/>
      <c r="BJ31" s="274"/>
      <c r="BK31" s="84"/>
      <c r="BL31" s="39"/>
      <c r="BM31" s="39"/>
      <c r="BN31" s="39"/>
      <c r="BO31" s="39"/>
      <c r="BP31" s="39"/>
      <c r="BQ31" s="40"/>
    </row>
    <row r="32" spans="1:81" outlineLevel="1" x14ac:dyDescent="0.25">
      <c r="A32" s="310" t="s">
        <v>21</v>
      </c>
      <c r="B32" s="302" t="s">
        <v>21</v>
      </c>
      <c r="C32" s="274"/>
      <c r="D32" s="274"/>
      <c r="E32" s="740">
        <f>E29</f>
        <v>2457.8820000000001</v>
      </c>
      <c r="F32" s="274"/>
      <c r="G32" s="569">
        <f>G29</f>
        <v>12.997</v>
      </c>
      <c r="H32" s="609">
        <f t="shared" ref="H32:M32" si="20">H29</f>
        <v>628.61599999999999</v>
      </c>
      <c r="I32" s="609">
        <f t="shared" si="20"/>
        <v>641.61300000000006</v>
      </c>
      <c r="J32" s="609">
        <f t="shared" si="20"/>
        <v>-264.803</v>
      </c>
      <c r="K32" s="609">
        <f t="shared" si="20"/>
        <v>376.81</v>
      </c>
      <c r="L32" s="609">
        <f t="shared" si="20"/>
        <v>-1544.662</v>
      </c>
      <c r="M32" s="623">
        <f t="shared" si="20"/>
        <v>-1167.8520000000001</v>
      </c>
      <c r="N32" s="274"/>
      <c r="O32" s="569">
        <f>O29</f>
        <v>628</v>
      </c>
      <c r="P32" s="609">
        <f t="shared" ref="P32:Q32" si="21">P29</f>
        <v>1098</v>
      </c>
      <c r="Q32" s="609">
        <f t="shared" si="21"/>
        <v>1726</v>
      </c>
      <c r="R32" s="609">
        <f t="shared" ref="R32:S32" si="22">R29</f>
        <v>1466</v>
      </c>
      <c r="S32" s="609">
        <f t="shared" si="22"/>
        <v>3192</v>
      </c>
      <c r="T32" s="609">
        <f t="shared" ref="T32:U32" si="23">T29</f>
        <v>-912</v>
      </c>
      <c r="U32" s="609">
        <f t="shared" si="23"/>
        <v>2280</v>
      </c>
      <c r="V32" s="483"/>
      <c r="W32" s="569">
        <v>1094</v>
      </c>
      <c r="X32" s="424">
        <f t="shared" si="0"/>
        <v>1539</v>
      </c>
      <c r="Y32" s="424">
        <v>2633</v>
      </c>
      <c r="Z32" s="408">
        <f t="shared" ref="Z32:AB37" si="24">AA32-Y32</f>
        <v>1461</v>
      </c>
      <c r="AA32" s="424">
        <v>4094</v>
      </c>
      <c r="AB32" s="408">
        <f t="shared" si="24"/>
        <v>1796.4189999999999</v>
      </c>
      <c r="AC32" s="86">
        <v>5890.4189999999999</v>
      </c>
      <c r="AD32" s="483"/>
      <c r="AE32" s="85">
        <v>1059</v>
      </c>
      <c r="AF32" s="424">
        <f t="shared" si="2"/>
        <v>1043</v>
      </c>
      <c r="AG32" s="424">
        <v>2102</v>
      </c>
      <c r="AH32" s="424">
        <f t="shared" si="3"/>
        <v>805</v>
      </c>
      <c r="AI32" s="424">
        <v>2907</v>
      </c>
      <c r="AJ32" s="424">
        <f t="shared" si="4"/>
        <v>267</v>
      </c>
      <c r="AK32" s="86">
        <v>3174</v>
      </c>
      <c r="AL32" s="274"/>
      <c r="AM32" s="85">
        <v>935</v>
      </c>
      <c r="AN32" s="424">
        <v>596</v>
      </c>
      <c r="AO32" s="424">
        <v>1531</v>
      </c>
      <c r="AP32" s="424">
        <v>1336</v>
      </c>
      <c r="AQ32" s="424">
        <v>2867</v>
      </c>
      <c r="AR32" s="424">
        <f t="shared" si="5"/>
        <v>-248</v>
      </c>
      <c r="AS32" s="86">
        <v>2619</v>
      </c>
      <c r="AT32" s="274"/>
      <c r="AU32" s="85">
        <v>1032</v>
      </c>
      <c r="AV32" s="424">
        <v>109</v>
      </c>
      <c r="AW32" s="424">
        <v>1141</v>
      </c>
      <c r="AX32" s="424">
        <v>750</v>
      </c>
      <c r="AY32" s="424">
        <v>1891</v>
      </c>
      <c r="AZ32" s="424">
        <v>663</v>
      </c>
      <c r="BA32" s="86">
        <v>2554</v>
      </c>
      <c r="BB32" s="274"/>
      <c r="BC32" s="85">
        <v>539</v>
      </c>
      <c r="BD32" s="38">
        <v>438</v>
      </c>
      <c r="BE32" s="38">
        <v>977</v>
      </c>
      <c r="BF32" s="38">
        <v>515</v>
      </c>
      <c r="BG32" s="38">
        <v>1492</v>
      </c>
      <c r="BH32" s="38">
        <v>-234</v>
      </c>
      <c r="BI32" s="86">
        <v>1258</v>
      </c>
      <c r="BJ32" s="274"/>
      <c r="BK32" s="85">
        <v>-3</v>
      </c>
      <c r="BL32" s="38">
        <v>-205</v>
      </c>
      <c r="BM32" s="38">
        <v>-208</v>
      </c>
      <c r="BN32" s="38">
        <v>897</v>
      </c>
      <c r="BO32" s="38">
        <v>689</v>
      </c>
      <c r="BP32" s="38">
        <v>463</v>
      </c>
      <c r="BQ32" s="86">
        <v>1152</v>
      </c>
    </row>
    <row r="33" spans="1:69" outlineLevel="1" x14ac:dyDescent="0.25">
      <c r="A33" s="310" t="s">
        <v>195</v>
      </c>
      <c r="B33" s="302" t="s">
        <v>19</v>
      </c>
      <c r="C33" s="274"/>
      <c r="D33" s="274"/>
      <c r="E33" s="740">
        <f>E27</f>
        <v>0</v>
      </c>
      <c r="F33" s="274"/>
      <c r="G33" s="569">
        <f>G27</f>
        <v>0</v>
      </c>
      <c r="H33" s="609">
        <f t="shared" ref="H33:M33" si="25">H27</f>
        <v>0</v>
      </c>
      <c r="I33" s="609">
        <f t="shared" si="25"/>
        <v>0</v>
      </c>
      <c r="J33" s="609">
        <f t="shared" si="25"/>
        <v>0</v>
      </c>
      <c r="K33" s="609">
        <f t="shared" si="25"/>
        <v>0</v>
      </c>
      <c r="L33" s="609">
        <f t="shared" si="25"/>
        <v>-160.196</v>
      </c>
      <c r="M33" s="623">
        <f t="shared" si="25"/>
        <v>-160.196</v>
      </c>
      <c r="N33" s="274"/>
      <c r="O33" s="569">
        <f>O27</f>
        <v>0</v>
      </c>
      <c r="P33" s="609">
        <f t="shared" ref="P33:Q33" si="26">P27</f>
        <v>0</v>
      </c>
      <c r="Q33" s="609">
        <f t="shared" si="26"/>
        <v>0</v>
      </c>
      <c r="R33" s="609">
        <f t="shared" ref="R33:S33" si="27">R27</f>
        <v>0</v>
      </c>
      <c r="S33" s="609">
        <f t="shared" si="27"/>
        <v>0</v>
      </c>
      <c r="T33" s="609">
        <f t="shared" ref="T33:U33" si="28">T27</f>
        <v>0</v>
      </c>
      <c r="U33" s="609">
        <f t="shared" si="28"/>
        <v>0</v>
      </c>
      <c r="V33" s="483"/>
      <c r="W33" s="569">
        <v>0</v>
      </c>
      <c r="X33" s="424">
        <f t="shared" si="0"/>
        <v>0</v>
      </c>
      <c r="Y33" s="424">
        <v>0</v>
      </c>
      <c r="Z33" s="408">
        <f t="shared" si="24"/>
        <v>0</v>
      </c>
      <c r="AA33" s="424">
        <v>0</v>
      </c>
      <c r="AB33" s="408">
        <f t="shared" si="24"/>
        <v>0</v>
      </c>
      <c r="AC33" s="86">
        <v>0</v>
      </c>
      <c r="AD33" s="483"/>
      <c r="AE33" s="85">
        <v>0</v>
      </c>
      <c r="AF33" s="424">
        <f t="shared" si="2"/>
        <v>0</v>
      </c>
      <c r="AG33" s="424">
        <v>0</v>
      </c>
      <c r="AH33" s="424">
        <f t="shared" si="3"/>
        <v>0</v>
      </c>
      <c r="AI33" s="424">
        <v>0</v>
      </c>
      <c r="AJ33" s="424">
        <f t="shared" si="4"/>
        <v>0</v>
      </c>
      <c r="AK33" s="86">
        <v>0</v>
      </c>
      <c r="AL33" s="274"/>
      <c r="AM33" s="85">
        <v>0</v>
      </c>
      <c r="AN33" s="424">
        <v>0</v>
      </c>
      <c r="AO33" s="424">
        <v>0</v>
      </c>
      <c r="AP33" s="424">
        <v>0</v>
      </c>
      <c r="AQ33" s="424">
        <v>0</v>
      </c>
      <c r="AR33" s="424">
        <f t="shared" si="5"/>
        <v>-1</v>
      </c>
      <c r="AS33" s="86">
        <v>-1</v>
      </c>
      <c r="AT33" s="274"/>
      <c r="AU33" s="85">
        <v>0</v>
      </c>
      <c r="AV33" s="424">
        <v>0</v>
      </c>
      <c r="AW33" s="424">
        <v>0</v>
      </c>
      <c r="AX33" s="424">
        <v>0</v>
      </c>
      <c r="AY33" s="424">
        <v>0</v>
      </c>
      <c r="AZ33" s="424">
        <v>0</v>
      </c>
      <c r="BA33" s="86">
        <v>0</v>
      </c>
      <c r="BB33" s="274"/>
      <c r="BC33" s="85">
        <v>0</v>
      </c>
      <c r="BD33" s="38">
        <v>0</v>
      </c>
      <c r="BE33" s="38">
        <v>0</v>
      </c>
      <c r="BF33" s="38">
        <v>0</v>
      </c>
      <c r="BG33" s="38">
        <v>0</v>
      </c>
      <c r="BH33" s="38">
        <v>0</v>
      </c>
      <c r="BI33" s="86">
        <v>0</v>
      </c>
      <c r="BJ33" s="274"/>
      <c r="BK33" s="85">
        <v>0</v>
      </c>
      <c r="BL33" s="38">
        <v>0</v>
      </c>
      <c r="BM33" s="38">
        <v>0</v>
      </c>
      <c r="BN33" s="38">
        <v>0</v>
      </c>
      <c r="BO33" s="38">
        <v>0</v>
      </c>
      <c r="BP33" s="38">
        <v>0</v>
      </c>
      <c r="BQ33" s="86">
        <v>0</v>
      </c>
    </row>
    <row r="34" spans="1:69" outlineLevel="1" x14ac:dyDescent="0.25">
      <c r="A34" s="310" t="s">
        <v>95</v>
      </c>
      <c r="B34" s="302" t="s">
        <v>20</v>
      </c>
      <c r="C34" s="274"/>
      <c r="D34" s="274"/>
      <c r="E34" s="740">
        <f>E28</f>
        <v>3882.8969999999999</v>
      </c>
      <c r="F34" s="274"/>
      <c r="G34" s="569">
        <f>G28</f>
        <v>4853.973</v>
      </c>
      <c r="H34" s="609">
        <f t="shared" ref="H34:M34" si="29">H28</f>
        <v>4698.93</v>
      </c>
      <c r="I34" s="609">
        <f t="shared" si="29"/>
        <v>9552.9030000000002</v>
      </c>
      <c r="J34" s="609">
        <f t="shared" si="29"/>
        <v>4426.8289999999997</v>
      </c>
      <c r="K34" s="609">
        <f t="shared" si="29"/>
        <v>13979.732</v>
      </c>
      <c r="L34" s="609">
        <f t="shared" si="29"/>
        <v>4174.7659999999996</v>
      </c>
      <c r="M34" s="623">
        <f t="shared" si="29"/>
        <v>18154.498</v>
      </c>
      <c r="N34" s="274"/>
      <c r="O34" s="569">
        <f>O28</f>
        <v>2009</v>
      </c>
      <c r="P34" s="609">
        <f t="shared" ref="P34:Q34" si="30">P28</f>
        <v>1868</v>
      </c>
      <c r="Q34" s="609">
        <f t="shared" si="30"/>
        <v>3877</v>
      </c>
      <c r="R34" s="609">
        <f t="shared" ref="R34:S34" si="31">R28</f>
        <v>1735</v>
      </c>
      <c r="S34" s="609">
        <f t="shared" si="31"/>
        <v>5612</v>
      </c>
      <c r="T34" s="609">
        <f t="shared" ref="T34:U34" si="32">T28</f>
        <v>5159</v>
      </c>
      <c r="U34" s="609">
        <f t="shared" si="32"/>
        <v>10771</v>
      </c>
      <c r="V34" s="483"/>
      <c r="W34" s="569">
        <v>2874</v>
      </c>
      <c r="X34" s="424">
        <f t="shared" si="0"/>
        <v>2760</v>
      </c>
      <c r="Y34" s="424">
        <v>5634</v>
      </c>
      <c r="Z34" s="408">
        <f t="shared" si="24"/>
        <v>2549</v>
      </c>
      <c r="AA34" s="424">
        <v>8183</v>
      </c>
      <c r="AB34" s="408">
        <f t="shared" si="24"/>
        <v>2302.7980000000007</v>
      </c>
      <c r="AC34" s="86">
        <v>10485.798000000001</v>
      </c>
      <c r="AD34" s="483"/>
      <c r="AE34" s="85">
        <v>2465</v>
      </c>
      <c r="AF34" s="424">
        <f t="shared" si="2"/>
        <v>2558</v>
      </c>
      <c r="AG34" s="424">
        <v>5023</v>
      </c>
      <c r="AH34" s="424">
        <f t="shared" si="3"/>
        <v>2821</v>
      </c>
      <c r="AI34" s="424">
        <v>7844</v>
      </c>
      <c r="AJ34" s="424">
        <f t="shared" si="4"/>
        <v>2898</v>
      </c>
      <c r="AK34" s="86">
        <v>10742</v>
      </c>
      <c r="AL34" s="274"/>
      <c r="AM34" s="85">
        <v>1738</v>
      </c>
      <c r="AN34" s="424">
        <v>1680</v>
      </c>
      <c r="AO34" s="424">
        <v>3418</v>
      </c>
      <c r="AP34" s="424">
        <v>1657</v>
      </c>
      <c r="AQ34" s="424">
        <v>5075</v>
      </c>
      <c r="AR34" s="424">
        <f t="shared" si="5"/>
        <v>2483</v>
      </c>
      <c r="AS34" s="86">
        <v>7558</v>
      </c>
      <c r="AT34" s="274"/>
      <c r="AU34" s="85">
        <v>1838</v>
      </c>
      <c r="AV34" s="424">
        <v>1675</v>
      </c>
      <c r="AW34" s="424">
        <v>3513</v>
      </c>
      <c r="AX34" s="424">
        <v>1777</v>
      </c>
      <c r="AY34" s="424">
        <v>5290</v>
      </c>
      <c r="AZ34" s="424">
        <v>1794</v>
      </c>
      <c r="BA34" s="86">
        <v>7084</v>
      </c>
      <c r="BB34" s="274"/>
      <c r="BC34" s="85">
        <v>2277</v>
      </c>
      <c r="BD34" s="38">
        <v>2247</v>
      </c>
      <c r="BE34" s="38">
        <v>4524</v>
      </c>
      <c r="BF34" s="38">
        <v>2151</v>
      </c>
      <c r="BG34" s="38">
        <v>6675</v>
      </c>
      <c r="BH34" s="38">
        <v>1960</v>
      </c>
      <c r="BI34" s="86">
        <v>8635</v>
      </c>
      <c r="BJ34" s="274"/>
      <c r="BK34" s="85">
        <v>1172</v>
      </c>
      <c r="BL34" s="38">
        <v>2339</v>
      </c>
      <c r="BM34" s="38">
        <v>3511</v>
      </c>
      <c r="BN34" s="38">
        <v>2387</v>
      </c>
      <c r="BO34" s="38">
        <v>5898</v>
      </c>
      <c r="BP34" s="38">
        <v>2330</v>
      </c>
      <c r="BQ34" s="86">
        <v>8228</v>
      </c>
    </row>
    <row r="35" spans="1:69" outlineLevel="1" x14ac:dyDescent="0.25">
      <c r="A35" s="310" t="s">
        <v>96</v>
      </c>
      <c r="B35" s="302" t="s">
        <v>55</v>
      </c>
      <c r="C35" s="274"/>
      <c r="D35" s="274"/>
      <c r="E35" s="742">
        <v>6453</v>
      </c>
      <c r="F35" s="274"/>
      <c r="G35" s="624">
        <v>7061</v>
      </c>
      <c r="H35" s="586">
        <v>5792</v>
      </c>
      <c r="I35" s="586">
        <v>12853</v>
      </c>
      <c r="J35" s="586">
        <v>6540</v>
      </c>
      <c r="K35" s="586">
        <v>19393</v>
      </c>
      <c r="L35" s="586">
        <v>6592</v>
      </c>
      <c r="M35" s="595">
        <v>25985</v>
      </c>
      <c r="N35" s="274"/>
      <c r="O35" s="569">
        <v>4023</v>
      </c>
      <c r="P35" s="424">
        <v>4024</v>
      </c>
      <c r="Q35" s="424">
        <v>8047</v>
      </c>
      <c r="R35" s="424">
        <v>4018</v>
      </c>
      <c r="S35" s="424">
        <v>12065</v>
      </c>
      <c r="T35" s="424">
        <f>U35-S35</f>
        <v>9172</v>
      </c>
      <c r="U35" s="424">
        <v>21237</v>
      </c>
      <c r="V35" s="483"/>
      <c r="W35" s="569">
        <v>4103</v>
      </c>
      <c r="X35" s="424">
        <f t="shared" si="0"/>
        <v>4117</v>
      </c>
      <c r="Y35" s="424">
        <v>8220</v>
      </c>
      <c r="Z35" s="408">
        <f t="shared" si="24"/>
        <v>4153</v>
      </c>
      <c r="AA35" s="424">
        <v>12373</v>
      </c>
      <c r="AB35" s="408">
        <f t="shared" si="24"/>
        <v>4121.6519999999982</v>
      </c>
      <c r="AC35" s="86">
        <v>16494.651999999998</v>
      </c>
      <c r="AD35" s="483"/>
      <c r="AE35" s="85">
        <v>3928</v>
      </c>
      <c r="AF35" s="424">
        <f t="shared" si="2"/>
        <v>4079</v>
      </c>
      <c r="AG35" s="424">
        <f>8130-123</f>
        <v>8007</v>
      </c>
      <c r="AH35" s="424">
        <f t="shared" si="3"/>
        <v>4062</v>
      </c>
      <c r="AI35" s="424">
        <v>12069</v>
      </c>
      <c r="AJ35" s="424">
        <f t="shared" si="4"/>
        <v>4088</v>
      </c>
      <c r="AK35" s="86">
        <f>16403-246</f>
        <v>16157</v>
      </c>
      <c r="AL35" s="274"/>
      <c r="AM35" s="85">
        <v>2563</v>
      </c>
      <c r="AN35" s="424">
        <v>3134</v>
      </c>
      <c r="AO35" s="424">
        <v>5697</v>
      </c>
      <c r="AP35" s="424">
        <v>3148</v>
      </c>
      <c r="AQ35" s="424">
        <v>8845</v>
      </c>
      <c r="AR35" s="424">
        <f t="shared" si="5"/>
        <v>3855</v>
      </c>
      <c r="AS35" s="86">
        <v>12700</v>
      </c>
      <c r="AT35" s="274"/>
      <c r="AU35" s="85">
        <v>3047</v>
      </c>
      <c r="AV35" s="424">
        <v>2935</v>
      </c>
      <c r="AW35" s="424">
        <v>5982</v>
      </c>
      <c r="AX35" s="424">
        <v>3304</v>
      </c>
      <c r="AY35" s="424">
        <v>9286</v>
      </c>
      <c r="AZ35" s="424">
        <v>3188</v>
      </c>
      <c r="BA35" s="86">
        <v>12474</v>
      </c>
      <c r="BB35" s="274"/>
      <c r="BC35" s="85">
        <v>2997</v>
      </c>
      <c r="BD35" s="38">
        <v>3013</v>
      </c>
      <c r="BE35" s="38">
        <v>6010</v>
      </c>
      <c r="BF35" s="38">
        <v>3044</v>
      </c>
      <c r="BG35" s="38">
        <v>9054</v>
      </c>
      <c r="BH35" s="38">
        <v>3129</v>
      </c>
      <c r="BI35" s="86">
        <v>12183</v>
      </c>
      <c r="BJ35" s="274"/>
      <c r="BK35" s="85">
        <v>885</v>
      </c>
      <c r="BL35" s="38">
        <v>3882</v>
      </c>
      <c r="BM35" s="38">
        <v>4767</v>
      </c>
      <c r="BN35" s="38">
        <v>2957</v>
      </c>
      <c r="BO35" s="38">
        <v>7724</v>
      </c>
      <c r="BP35" s="38">
        <v>2988</v>
      </c>
      <c r="BQ35" s="86">
        <v>10712</v>
      </c>
    </row>
    <row r="36" spans="1:69" outlineLevel="1" x14ac:dyDescent="0.25">
      <c r="A36" s="310" t="s">
        <v>220</v>
      </c>
      <c r="B36" s="302" t="s">
        <v>56</v>
      </c>
      <c r="C36" s="274"/>
      <c r="D36" s="274"/>
      <c r="E36" s="743">
        <v>131</v>
      </c>
      <c r="F36" s="274"/>
      <c r="G36" s="628">
        <v>131</v>
      </c>
      <c r="H36" s="634">
        <v>131</v>
      </c>
      <c r="I36" s="634">
        <v>262</v>
      </c>
      <c r="J36" s="634">
        <v>132</v>
      </c>
      <c r="K36" s="634">
        <v>394</v>
      </c>
      <c r="L36" s="634">
        <v>131</v>
      </c>
      <c r="M36" s="635">
        <v>525</v>
      </c>
      <c r="N36" s="274"/>
      <c r="O36" s="570">
        <v>62</v>
      </c>
      <c r="P36" s="425">
        <v>61</v>
      </c>
      <c r="Q36" s="425">
        <v>123</v>
      </c>
      <c r="R36" s="425">
        <v>62</v>
      </c>
      <c r="S36" s="425">
        <v>185</v>
      </c>
      <c r="T36" s="425">
        <f>U36-S36</f>
        <v>131</v>
      </c>
      <c r="U36" s="425">
        <v>316</v>
      </c>
      <c r="V36" s="483"/>
      <c r="W36" s="570">
        <v>62</v>
      </c>
      <c r="X36" s="425">
        <f t="shared" si="0"/>
        <v>62</v>
      </c>
      <c r="Y36" s="425">
        <v>124</v>
      </c>
      <c r="Z36" s="409">
        <f t="shared" si="24"/>
        <v>61</v>
      </c>
      <c r="AA36" s="425">
        <v>185</v>
      </c>
      <c r="AB36" s="409">
        <f t="shared" si="24"/>
        <v>61.348000000000013</v>
      </c>
      <c r="AC36" s="193">
        <v>246.34800000000001</v>
      </c>
      <c r="AD36" s="483"/>
      <c r="AE36" s="198">
        <v>62</v>
      </c>
      <c r="AF36" s="425">
        <f t="shared" si="2"/>
        <v>61</v>
      </c>
      <c r="AG36" s="425">
        <v>123</v>
      </c>
      <c r="AH36" s="425">
        <f t="shared" si="3"/>
        <v>62</v>
      </c>
      <c r="AI36" s="425">
        <v>185</v>
      </c>
      <c r="AJ36" s="425">
        <f t="shared" si="4"/>
        <v>61</v>
      </c>
      <c r="AK36" s="193">
        <v>246</v>
      </c>
      <c r="AL36" s="274"/>
      <c r="AM36" s="198">
        <v>60</v>
      </c>
      <c r="AN36" s="425">
        <v>59</v>
      </c>
      <c r="AO36" s="425">
        <v>119</v>
      </c>
      <c r="AP36" s="425">
        <v>58</v>
      </c>
      <c r="AQ36" s="425">
        <v>177</v>
      </c>
      <c r="AR36" s="425">
        <f t="shared" si="5"/>
        <v>61</v>
      </c>
      <c r="AS36" s="193">
        <v>238</v>
      </c>
      <c r="AT36" s="274"/>
      <c r="AU36" s="198">
        <v>63</v>
      </c>
      <c r="AV36" s="425">
        <v>63</v>
      </c>
      <c r="AW36" s="425">
        <v>126</v>
      </c>
      <c r="AX36" s="425">
        <v>61</v>
      </c>
      <c r="AY36" s="425">
        <v>187</v>
      </c>
      <c r="AZ36" s="425">
        <v>61</v>
      </c>
      <c r="BA36" s="193">
        <v>248</v>
      </c>
      <c r="BB36" s="274"/>
      <c r="BC36" s="198">
        <v>70</v>
      </c>
      <c r="BD36" s="192">
        <v>68</v>
      </c>
      <c r="BE36" s="192">
        <v>138</v>
      </c>
      <c r="BF36" s="192">
        <v>66</v>
      </c>
      <c r="BG36" s="192">
        <v>204</v>
      </c>
      <c r="BH36" s="192">
        <v>65</v>
      </c>
      <c r="BI36" s="193">
        <v>269</v>
      </c>
      <c r="BJ36" s="274"/>
      <c r="BK36" s="198">
        <v>28</v>
      </c>
      <c r="BL36" s="192">
        <v>84</v>
      </c>
      <c r="BM36" s="192">
        <v>112</v>
      </c>
      <c r="BN36" s="192">
        <v>76</v>
      </c>
      <c r="BO36" s="192">
        <v>188</v>
      </c>
      <c r="BP36" s="192">
        <v>73</v>
      </c>
      <c r="BQ36" s="193">
        <v>261</v>
      </c>
    </row>
    <row r="37" spans="1:69" x14ac:dyDescent="0.25">
      <c r="A37" s="310" t="s">
        <v>57</v>
      </c>
      <c r="B37" s="308" t="s">
        <v>57</v>
      </c>
      <c r="C37" s="274"/>
      <c r="D37" s="274"/>
      <c r="E37" s="705">
        <f>SUM(E30:E36)</f>
        <v>17971.638000000006</v>
      </c>
      <c r="F37" s="274"/>
      <c r="G37" s="567">
        <f>SUM(G30:G36)</f>
        <v>11831.135999999997</v>
      </c>
      <c r="H37" s="608">
        <f t="shared" ref="H37:M37" si="33">SUM(H30:H36)</f>
        <v>12684.351999999999</v>
      </c>
      <c r="I37" s="608">
        <f t="shared" si="33"/>
        <v>24515.488000000005</v>
      </c>
      <c r="J37" s="608">
        <f t="shared" si="33"/>
        <v>10119.927000000005</v>
      </c>
      <c r="K37" s="608">
        <f t="shared" si="33"/>
        <v>34635.415000000008</v>
      </c>
      <c r="L37" s="608">
        <f t="shared" si="33"/>
        <v>1630.341000000004</v>
      </c>
      <c r="M37" s="622">
        <f t="shared" si="33"/>
        <v>36265.756000000001</v>
      </c>
      <c r="N37" s="274"/>
      <c r="O37" s="567">
        <f>SUM(O30:O36)</f>
        <v>7415</v>
      </c>
      <c r="P37" s="608">
        <f t="shared" ref="P37:Q37" si="34">SUM(P30:P36)</f>
        <v>9752</v>
      </c>
      <c r="Q37" s="608">
        <f t="shared" si="34"/>
        <v>17167</v>
      </c>
      <c r="R37" s="608">
        <f t="shared" ref="R37:S37" si="35">SUM(R30:R36)</f>
        <v>9963</v>
      </c>
      <c r="S37" s="608">
        <f t="shared" si="35"/>
        <v>27130</v>
      </c>
      <c r="T37" s="608">
        <f t="shared" ref="T37:U37" si="36">SUM(T30:T36)</f>
        <v>13109</v>
      </c>
      <c r="U37" s="608">
        <f t="shared" si="36"/>
        <v>40239</v>
      </c>
      <c r="V37" s="483"/>
      <c r="W37" s="567">
        <v>10834</v>
      </c>
      <c r="X37" s="423">
        <f t="shared" si="0"/>
        <v>12979</v>
      </c>
      <c r="Y37" s="423">
        <v>23813</v>
      </c>
      <c r="Z37" s="406">
        <f t="shared" si="24"/>
        <v>13266</v>
      </c>
      <c r="AA37" s="423">
        <v>37079</v>
      </c>
      <c r="AB37" s="406">
        <f t="shared" si="24"/>
        <v>12542.217000000004</v>
      </c>
      <c r="AC37" s="40">
        <v>49621.217000000004</v>
      </c>
      <c r="AD37" s="483"/>
      <c r="AE37" s="84">
        <v>9450</v>
      </c>
      <c r="AF37" s="423">
        <f t="shared" si="2"/>
        <v>10189</v>
      </c>
      <c r="AG37" s="423">
        <v>19639</v>
      </c>
      <c r="AH37" s="423">
        <f t="shared" si="3"/>
        <v>10515</v>
      </c>
      <c r="AI37" s="423">
        <v>30154</v>
      </c>
      <c r="AJ37" s="423">
        <f t="shared" si="4"/>
        <v>9827</v>
      </c>
      <c r="AK37" s="40">
        <v>39981</v>
      </c>
      <c r="AL37" s="274"/>
      <c r="AM37" s="84">
        <v>7511</v>
      </c>
      <c r="AN37" s="423">
        <v>6552</v>
      </c>
      <c r="AO37" s="423">
        <v>14063</v>
      </c>
      <c r="AP37" s="423">
        <v>8793</v>
      </c>
      <c r="AQ37" s="423">
        <v>22856</v>
      </c>
      <c r="AR37" s="423">
        <f t="shared" si="5"/>
        <v>8129</v>
      </c>
      <c r="AS37" s="40">
        <v>30985</v>
      </c>
      <c r="AT37" s="274"/>
      <c r="AU37" s="84">
        <v>7349</v>
      </c>
      <c r="AV37" s="423">
        <v>5559</v>
      </c>
      <c r="AW37" s="423">
        <v>12908</v>
      </c>
      <c r="AX37" s="423">
        <v>7934</v>
      </c>
      <c r="AY37" s="423">
        <v>20842</v>
      </c>
      <c r="AZ37" s="423">
        <v>7610</v>
      </c>
      <c r="BA37" s="40">
        <v>28452</v>
      </c>
      <c r="BB37" s="274"/>
      <c r="BC37" s="84">
        <v>6487</v>
      </c>
      <c r="BD37" s="39">
        <v>7068</v>
      </c>
      <c r="BE37" s="39">
        <v>13555</v>
      </c>
      <c r="BF37" s="39">
        <v>7253</v>
      </c>
      <c r="BG37" s="39">
        <v>20808</v>
      </c>
      <c r="BH37" s="39">
        <v>4420</v>
      </c>
      <c r="BI37" s="40">
        <v>25228</v>
      </c>
      <c r="BJ37" s="274"/>
      <c r="BK37" s="84">
        <v>1485</v>
      </c>
      <c r="BL37" s="39">
        <v>6881</v>
      </c>
      <c r="BM37" s="39">
        <v>8366</v>
      </c>
      <c r="BN37" s="39">
        <v>6663</v>
      </c>
      <c r="BO37" s="39">
        <v>15029</v>
      </c>
      <c r="BP37" s="39">
        <v>6427</v>
      </c>
      <c r="BQ37" s="40">
        <v>21456</v>
      </c>
    </row>
    <row r="38" spans="1:69" outlineLevel="1" x14ac:dyDescent="0.25">
      <c r="A38" s="310" t="s">
        <v>233</v>
      </c>
      <c r="B38" s="302" t="s">
        <v>58</v>
      </c>
      <c r="C38" s="274"/>
      <c r="D38" s="274"/>
      <c r="E38" s="742"/>
      <c r="F38" s="274"/>
      <c r="G38" s="569"/>
      <c r="H38" s="424"/>
      <c r="I38" s="424"/>
      <c r="J38" s="424"/>
      <c r="K38" s="424"/>
      <c r="L38" s="424"/>
      <c r="M38" s="86"/>
      <c r="N38" s="274"/>
      <c r="O38" s="569"/>
      <c r="P38" s="424"/>
      <c r="Q38" s="424"/>
      <c r="R38" s="424"/>
      <c r="S38" s="424"/>
      <c r="T38" s="424"/>
      <c r="U38" s="424"/>
      <c r="V38" s="483"/>
      <c r="W38" s="569"/>
      <c r="X38" s="424"/>
      <c r="Y38" s="424"/>
      <c r="Z38" s="408"/>
      <c r="AA38" s="424"/>
      <c r="AB38" s="408"/>
      <c r="AC38" s="86"/>
      <c r="AD38" s="483"/>
      <c r="AE38" s="85">
        <v>0</v>
      </c>
      <c r="AF38" s="424">
        <f t="shared" si="2"/>
        <v>0</v>
      </c>
      <c r="AG38" s="424"/>
      <c r="AH38" s="424"/>
      <c r="AI38" s="424"/>
      <c r="AJ38" s="424">
        <f t="shared" si="4"/>
        <v>0</v>
      </c>
      <c r="AK38" s="86">
        <v>0</v>
      </c>
      <c r="AL38" s="274"/>
      <c r="AM38" s="85">
        <v>0</v>
      </c>
      <c r="AN38" s="424">
        <v>0</v>
      </c>
      <c r="AO38" s="424">
        <v>0</v>
      </c>
      <c r="AP38" s="424">
        <v>0</v>
      </c>
      <c r="AQ38" s="424">
        <v>0</v>
      </c>
      <c r="AR38" s="424">
        <f t="shared" si="5"/>
        <v>0</v>
      </c>
      <c r="AS38" s="86">
        <v>0</v>
      </c>
      <c r="AT38" s="274"/>
      <c r="AU38" s="85">
        <v>0</v>
      </c>
      <c r="AV38" s="424">
        <v>0</v>
      </c>
      <c r="AW38" s="424">
        <v>0</v>
      </c>
      <c r="AX38" s="424">
        <v>0</v>
      </c>
      <c r="AY38" s="424">
        <v>0</v>
      </c>
      <c r="AZ38" s="424">
        <v>0</v>
      </c>
      <c r="BA38" s="86">
        <v>0</v>
      </c>
      <c r="BB38" s="274"/>
      <c r="BC38" s="85">
        <v>0</v>
      </c>
      <c r="BD38" s="38">
        <v>0</v>
      </c>
      <c r="BE38" s="38">
        <v>0</v>
      </c>
      <c r="BF38" s="38">
        <v>0</v>
      </c>
      <c r="BG38" s="38">
        <v>0</v>
      </c>
      <c r="BH38" s="38">
        <v>0</v>
      </c>
      <c r="BI38" s="86">
        <v>0</v>
      </c>
      <c r="BJ38" s="274"/>
      <c r="BK38" s="85">
        <v>6</v>
      </c>
      <c r="BL38" s="38">
        <v>0</v>
      </c>
      <c r="BM38" s="38">
        <v>6</v>
      </c>
      <c r="BN38" s="38">
        <v>66</v>
      </c>
      <c r="BO38" s="38">
        <v>72</v>
      </c>
      <c r="BP38" s="38">
        <v>1</v>
      </c>
      <c r="BQ38" s="86">
        <v>73</v>
      </c>
    </row>
    <row r="39" spans="1:69" outlineLevel="1" x14ac:dyDescent="0.25">
      <c r="A39" s="310" t="s">
        <v>59</v>
      </c>
      <c r="B39" s="302" t="s">
        <v>59</v>
      </c>
      <c r="C39" s="274"/>
      <c r="D39" s="274"/>
      <c r="E39" s="742">
        <v>124</v>
      </c>
      <c r="F39" s="274"/>
      <c r="G39" s="624">
        <v>245</v>
      </c>
      <c r="H39" s="542">
        <f>I39-G39</f>
        <v>242</v>
      </c>
      <c r="I39" s="586">
        <v>487</v>
      </c>
      <c r="J39" s="542">
        <f>K39-I39</f>
        <v>239</v>
      </c>
      <c r="K39" s="586">
        <v>726</v>
      </c>
      <c r="L39" s="542">
        <f>M39-K39</f>
        <v>110</v>
      </c>
      <c r="M39" s="595">
        <v>836</v>
      </c>
      <c r="N39" s="274"/>
      <c r="O39" s="569">
        <v>252</v>
      </c>
      <c r="P39" s="424">
        <v>252</v>
      </c>
      <c r="Q39" s="424">
        <v>504</v>
      </c>
      <c r="R39" s="424">
        <v>237</v>
      </c>
      <c r="S39" s="424">
        <v>741</v>
      </c>
      <c r="T39" s="424">
        <f>U39-S39</f>
        <v>247</v>
      </c>
      <c r="U39" s="424">
        <v>988</v>
      </c>
      <c r="V39" s="483"/>
      <c r="W39" s="569">
        <v>316</v>
      </c>
      <c r="X39" s="424">
        <f t="shared" si="0"/>
        <v>250</v>
      </c>
      <c r="Y39" s="424">
        <v>566</v>
      </c>
      <c r="Z39" s="408">
        <f t="shared" ref="Z39:AB41" si="37">AA39-Y39</f>
        <v>234</v>
      </c>
      <c r="AA39" s="424">
        <v>800</v>
      </c>
      <c r="AB39" s="408">
        <f t="shared" si="37"/>
        <v>186</v>
      </c>
      <c r="AC39" s="86">
        <v>986</v>
      </c>
      <c r="AD39" s="483"/>
      <c r="AE39" s="85">
        <v>268</v>
      </c>
      <c r="AF39" s="424">
        <f t="shared" si="2"/>
        <v>267</v>
      </c>
      <c r="AG39" s="424">
        <v>535</v>
      </c>
      <c r="AH39" s="424">
        <f t="shared" si="3"/>
        <v>375</v>
      </c>
      <c r="AI39" s="424">
        <v>910</v>
      </c>
      <c r="AJ39" s="424">
        <f t="shared" si="4"/>
        <v>411</v>
      </c>
      <c r="AK39" s="86">
        <v>1321</v>
      </c>
      <c r="AL39" s="274"/>
      <c r="AM39" s="85">
        <v>257</v>
      </c>
      <c r="AN39" s="424">
        <v>256</v>
      </c>
      <c r="AO39" s="424">
        <v>513</v>
      </c>
      <c r="AP39" s="424">
        <v>257</v>
      </c>
      <c r="AQ39" s="424">
        <v>770</v>
      </c>
      <c r="AR39" s="424">
        <f t="shared" si="5"/>
        <v>265</v>
      </c>
      <c r="AS39" s="86">
        <v>1035</v>
      </c>
      <c r="AT39" s="274"/>
      <c r="AU39" s="85">
        <v>258</v>
      </c>
      <c r="AV39" s="424">
        <v>257</v>
      </c>
      <c r="AW39" s="424">
        <v>515</v>
      </c>
      <c r="AX39" s="424">
        <v>256</v>
      </c>
      <c r="AY39" s="424">
        <v>771</v>
      </c>
      <c r="AZ39" s="424">
        <v>257</v>
      </c>
      <c r="BA39" s="86">
        <v>1028</v>
      </c>
      <c r="BB39" s="274"/>
      <c r="BC39" s="85">
        <v>254</v>
      </c>
      <c r="BD39" s="38">
        <v>256</v>
      </c>
      <c r="BE39" s="38">
        <v>510</v>
      </c>
      <c r="BF39" s="38">
        <v>257</v>
      </c>
      <c r="BG39" s="38">
        <v>767</v>
      </c>
      <c r="BH39" s="38">
        <v>258</v>
      </c>
      <c r="BI39" s="86">
        <v>1025</v>
      </c>
      <c r="BJ39" s="274"/>
      <c r="BK39" s="85">
        <v>85</v>
      </c>
      <c r="BL39" s="38">
        <v>254</v>
      </c>
      <c r="BM39" s="38">
        <v>339</v>
      </c>
      <c r="BN39" s="38">
        <v>255</v>
      </c>
      <c r="BO39" s="38">
        <v>594</v>
      </c>
      <c r="BP39" s="38">
        <v>254</v>
      </c>
      <c r="BQ39" s="86">
        <v>848</v>
      </c>
    </row>
    <row r="40" spans="1:69" outlineLevel="1" x14ac:dyDescent="0.25">
      <c r="A40" s="310" t="s">
        <v>71</v>
      </c>
      <c r="B40" s="302" t="s">
        <v>60</v>
      </c>
      <c r="C40" s="274"/>
      <c r="D40" s="274"/>
      <c r="E40" s="742">
        <v>0</v>
      </c>
      <c r="F40" s="274"/>
      <c r="G40" s="624">
        <v>0</v>
      </c>
      <c r="H40" s="586">
        <v>0</v>
      </c>
      <c r="I40" s="586">
        <v>0</v>
      </c>
      <c r="J40" s="586">
        <v>0</v>
      </c>
      <c r="K40" s="586">
        <v>0</v>
      </c>
      <c r="L40" s="586">
        <v>0</v>
      </c>
      <c r="M40" s="595">
        <v>0</v>
      </c>
      <c r="N40" s="274"/>
      <c r="O40" s="569">
        <v>0</v>
      </c>
      <c r="P40" s="424">
        <v>0</v>
      </c>
      <c r="Q40" s="424">
        <v>0</v>
      </c>
      <c r="R40" s="424">
        <v>0</v>
      </c>
      <c r="S40" s="424">
        <v>0</v>
      </c>
      <c r="T40" s="424">
        <v>0</v>
      </c>
      <c r="U40" s="424">
        <v>0</v>
      </c>
      <c r="V40" s="483"/>
      <c r="W40" s="569">
        <v>0</v>
      </c>
      <c r="X40" s="424">
        <f t="shared" si="0"/>
        <v>0</v>
      </c>
      <c r="Y40" s="424">
        <v>0</v>
      </c>
      <c r="Z40" s="408">
        <f t="shared" si="37"/>
        <v>0</v>
      </c>
      <c r="AA40" s="424">
        <v>0</v>
      </c>
      <c r="AB40" s="408">
        <f t="shared" si="37"/>
        <v>0</v>
      </c>
      <c r="AC40" s="86">
        <v>0</v>
      </c>
      <c r="AD40" s="483"/>
      <c r="AE40" s="85">
        <v>0</v>
      </c>
      <c r="AF40" s="424">
        <f t="shared" si="2"/>
        <v>0</v>
      </c>
      <c r="AG40" s="424">
        <v>0</v>
      </c>
      <c r="AH40" s="424">
        <v>0</v>
      </c>
      <c r="AI40" s="424">
        <v>0</v>
      </c>
      <c r="AJ40" s="424">
        <f t="shared" si="4"/>
        <v>0</v>
      </c>
      <c r="AK40" s="86">
        <v>0</v>
      </c>
      <c r="AL40" s="274"/>
      <c r="AM40" s="85">
        <v>0</v>
      </c>
      <c r="AN40" s="424">
        <v>0</v>
      </c>
      <c r="AO40" s="424">
        <v>0</v>
      </c>
      <c r="AP40" s="424">
        <v>0</v>
      </c>
      <c r="AQ40" s="424">
        <v>0</v>
      </c>
      <c r="AR40" s="424">
        <f t="shared" si="5"/>
        <v>0</v>
      </c>
      <c r="AS40" s="86">
        <v>0</v>
      </c>
      <c r="AT40" s="274"/>
      <c r="AU40" s="85">
        <v>0</v>
      </c>
      <c r="AV40" s="424">
        <v>0</v>
      </c>
      <c r="AW40" s="424">
        <v>0</v>
      </c>
      <c r="AX40" s="424">
        <v>0</v>
      </c>
      <c r="AY40" s="424">
        <v>0</v>
      </c>
      <c r="AZ40" s="424">
        <v>0</v>
      </c>
      <c r="BA40" s="86">
        <v>0</v>
      </c>
      <c r="BB40" s="274"/>
      <c r="BC40" s="85">
        <v>0</v>
      </c>
      <c r="BD40" s="38">
        <v>0</v>
      </c>
      <c r="BE40" s="38">
        <v>0</v>
      </c>
      <c r="BF40" s="38">
        <v>0</v>
      </c>
      <c r="BG40" s="38">
        <v>0</v>
      </c>
      <c r="BH40" s="38">
        <v>0</v>
      </c>
      <c r="BI40" s="86">
        <v>0</v>
      </c>
      <c r="BJ40" s="274"/>
      <c r="BK40" s="85">
        <v>0</v>
      </c>
      <c r="BL40" s="38">
        <v>0</v>
      </c>
      <c r="BM40" s="38">
        <v>0</v>
      </c>
      <c r="BN40" s="38">
        <v>0</v>
      </c>
      <c r="BO40" s="38">
        <v>0</v>
      </c>
      <c r="BP40" s="38">
        <v>0</v>
      </c>
      <c r="BQ40" s="86">
        <v>0</v>
      </c>
    </row>
    <row r="41" spans="1:69" outlineLevel="1" x14ac:dyDescent="0.25">
      <c r="A41" s="310" t="s">
        <v>98</v>
      </c>
      <c r="B41" s="302" t="s">
        <v>198</v>
      </c>
      <c r="C41" s="274"/>
      <c r="D41" s="274"/>
      <c r="E41" s="742">
        <v>0</v>
      </c>
      <c r="F41" s="274"/>
      <c r="G41" s="624">
        <v>0</v>
      </c>
      <c r="H41" s="586">
        <v>0</v>
      </c>
      <c r="I41" s="586">
        <v>0</v>
      </c>
      <c r="J41" s="586">
        <v>0</v>
      </c>
      <c r="K41" s="586">
        <v>0</v>
      </c>
      <c r="L41" s="586">
        <v>0</v>
      </c>
      <c r="M41" s="595">
        <v>0</v>
      </c>
      <c r="N41" s="274"/>
      <c r="O41" s="569">
        <v>0</v>
      </c>
      <c r="P41" s="424">
        <v>0</v>
      </c>
      <c r="Q41" s="424">
        <v>0</v>
      </c>
      <c r="R41" s="424">
        <v>0</v>
      </c>
      <c r="S41" s="424">
        <v>0</v>
      </c>
      <c r="T41" s="424">
        <v>1872</v>
      </c>
      <c r="U41" s="424">
        <v>1872</v>
      </c>
      <c r="V41" s="483"/>
      <c r="W41" s="569">
        <v>0</v>
      </c>
      <c r="X41" s="424">
        <f t="shared" si="0"/>
        <v>0</v>
      </c>
      <c r="Y41" s="424">
        <v>0</v>
      </c>
      <c r="Z41" s="408">
        <f t="shared" si="37"/>
        <v>0</v>
      </c>
      <c r="AA41" s="424">
        <v>0</v>
      </c>
      <c r="AB41" s="408">
        <f t="shared" si="37"/>
        <v>0</v>
      </c>
      <c r="AC41" s="86">
        <v>0</v>
      </c>
      <c r="AD41" s="483"/>
      <c r="AE41" s="85">
        <v>216</v>
      </c>
      <c r="AF41" s="424">
        <f t="shared" si="2"/>
        <v>0</v>
      </c>
      <c r="AG41" s="424">
        <v>216</v>
      </c>
      <c r="AH41" s="424">
        <f t="shared" si="2"/>
        <v>0</v>
      </c>
      <c r="AI41" s="424">
        <v>216</v>
      </c>
      <c r="AJ41" s="424">
        <f t="shared" si="4"/>
        <v>0</v>
      </c>
      <c r="AK41" s="86">
        <v>216</v>
      </c>
      <c r="AL41" s="274"/>
      <c r="AM41" s="85">
        <v>0</v>
      </c>
      <c r="AN41" s="424">
        <v>0</v>
      </c>
      <c r="AO41" s="424">
        <v>0</v>
      </c>
      <c r="AP41" s="424">
        <v>0</v>
      </c>
      <c r="AQ41" s="424">
        <v>0</v>
      </c>
      <c r="AR41" s="424">
        <f t="shared" si="5"/>
        <v>444</v>
      </c>
      <c r="AS41" s="86">
        <v>444</v>
      </c>
      <c r="AT41" s="274"/>
      <c r="AU41" s="85">
        <v>0</v>
      </c>
      <c r="AV41" s="424">
        <v>0</v>
      </c>
      <c r="AW41" s="424">
        <v>0</v>
      </c>
      <c r="AX41" s="424">
        <v>273</v>
      </c>
      <c r="AY41" s="424">
        <v>273</v>
      </c>
      <c r="AZ41" s="424">
        <v>0</v>
      </c>
      <c r="BA41" s="86">
        <v>273</v>
      </c>
      <c r="BB41" s="274"/>
      <c r="BC41" s="85">
        <v>0</v>
      </c>
      <c r="BD41" s="38">
        <v>0</v>
      </c>
      <c r="BE41" s="38">
        <v>0</v>
      </c>
      <c r="BF41" s="38">
        <v>0</v>
      </c>
      <c r="BG41" s="38">
        <v>0</v>
      </c>
      <c r="BH41" s="38">
        <v>0</v>
      </c>
      <c r="BI41" s="86">
        <v>0</v>
      </c>
      <c r="BJ41" s="274"/>
      <c r="BK41" s="85">
        <v>1552</v>
      </c>
      <c r="BL41" s="38">
        <v>0</v>
      </c>
      <c r="BM41" s="38">
        <v>1552</v>
      </c>
      <c r="BN41" s="38">
        <v>0</v>
      </c>
      <c r="BO41" s="38">
        <v>1552</v>
      </c>
      <c r="BP41" s="38">
        <v>0</v>
      </c>
      <c r="BQ41" s="86">
        <v>1552</v>
      </c>
    </row>
    <row r="42" spans="1:69" outlineLevel="1" x14ac:dyDescent="0.25">
      <c r="B42" s="302" t="s">
        <v>63</v>
      </c>
      <c r="C42" s="274"/>
      <c r="D42" s="274"/>
      <c r="E42" s="742">
        <v>0</v>
      </c>
      <c r="F42" s="274"/>
      <c r="G42" s="624">
        <v>0</v>
      </c>
      <c r="H42" s="586">
        <v>0</v>
      </c>
      <c r="I42" s="586">
        <v>0</v>
      </c>
      <c r="J42" s="586">
        <v>0</v>
      </c>
      <c r="K42" s="586">
        <v>0</v>
      </c>
      <c r="L42" s="586">
        <v>0</v>
      </c>
      <c r="M42" s="595">
        <v>0</v>
      </c>
      <c r="N42" s="274"/>
      <c r="O42" s="569">
        <v>0</v>
      </c>
      <c r="P42" s="424">
        <v>0</v>
      </c>
      <c r="Q42" s="424">
        <v>0</v>
      </c>
      <c r="R42" s="424">
        <v>0</v>
      </c>
      <c r="S42" s="424">
        <v>0</v>
      </c>
      <c r="T42" s="424">
        <v>0</v>
      </c>
      <c r="U42" s="424">
        <v>0</v>
      </c>
      <c r="V42" s="483"/>
      <c r="W42" s="569">
        <v>0</v>
      </c>
      <c r="X42" s="424">
        <f t="shared" si="0"/>
        <v>0</v>
      </c>
      <c r="Y42" s="424">
        <v>0</v>
      </c>
      <c r="Z42" s="408">
        <v>0</v>
      </c>
      <c r="AA42" s="424">
        <v>0</v>
      </c>
      <c r="AB42" s="408">
        <v>0</v>
      </c>
      <c r="AC42" s="86">
        <v>0</v>
      </c>
      <c r="AD42" s="483"/>
      <c r="AE42" s="85">
        <v>0</v>
      </c>
      <c r="AF42" s="424">
        <f t="shared" si="2"/>
        <v>0</v>
      </c>
      <c r="AG42" s="424">
        <v>0</v>
      </c>
      <c r="AH42" s="424">
        <v>0</v>
      </c>
      <c r="AI42" s="424">
        <v>0</v>
      </c>
      <c r="AJ42" s="424">
        <f t="shared" si="4"/>
        <v>0</v>
      </c>
      <c r="AK42" s="86">
        <v>0</v>
      </c>
      <c r="AL42" s="274"/>
      <c r="AM42" s="85">
        <v>0</v>
      </c>
      <c r="AN42" s="424">
        <v>0</v>
      </c>
      <c r="AO42" s="424">
        <v>0</v>
      </c>
      <c r="AP42" s="424">
        <v>0</v>
      </c>
      <c r="AQ42" s="424">
        <v>0</v>
      </c>
      <c r="AR42" s="424">
        <f t="shared" si="5"/>
        <v>0</v>
      </c>
      <c r="AS42" s="86">
        <v>0</v>
      </c>
      <c r="AT42" s="274"/>
      <c r="AU42" s="85">
        <v>0</v>
      </c>
      <c r="AV42" s="424">
        <v>0</v>
      </c>
      <c r="AW42" s="424">
        <v>0</v>
      </c>
      <c r="AX42" s="424">
        <v>0</v>
      </c>
      <c r="AY42" s="424">
        <v>0</v>
      </c>
      <c r="AZ42" s="424">
        <v>0</v>
      </c>
      <c r="BA42" s="86">
        <v>0</v>
      </c>
      <c r="BB42" s="274"/>
      <c r="BC42" s="85">
        <v>0</v>
      </c>
      <c r="BD42" s="38">
        <v>0</v>
      </c>
      <c r="BE42" s="38">
        <v>0</v>
      </c>
      <c r="BF42" s="38">
        <v>0</v>
      </c>
      <c r="BG42" s="38">
        <v>0</v>
      </c>
      <c r="BH42" s="38">
        <v>0</v>
      </c>
      <c r="BI42" s="86">
        <v>0</v>
      </c>
      <c r="BJ42" s="274"/>
      <c r="BK42" s="85">
        <v>281</v>
      </c>
      <c r="BL42" s="38">
        <v>-281</v>
      </c>
      <c r="BM42" s="38">
        <v>0</v>
      </c>
      <c r="BN42" s="38">
        <v>0</v>
      </c>
      <c r="BO42" s="38">
        <v>0</v>
      </c>
      <c r="BP42" s="38">
        <v>0</v>
      </c>
      <c r="BQ42" s="86">
        <v>0</v>
      </c>
    </row>
    <row r="43" spans="1:69" outlineLevel="1" x14ac:dyDescent="0.25">
      <c r="A43" s="310" t="s">
        <v>157</v>
      </c>
      <c r="B43" s="302" t="s">
        <v>86</v>
      </c>
      <c r="C43" s="274"/>
      <c r="D43" s="274"/>
      <c r="E43" s="742">
        <v>0</v>
      </c>
      <c r="F43" s="274"/>
      <c r="G43" s="624">
        <v>0</v>
      </c>
      <c r="H43" s="586">
        <v>0</v>
      </c>
      <c r="I43" s="586">
        <v>0</v>
      </c>
      <c r="J43" s="586">
        <v>0</v>
      </c>
      <c r="K43" s="586">
        <v>0</v>
      </c>
      <c r="L43" s="586">
        <v>0</v>
      </c>
      <c r="M43" s="595">
        <v>0</v>
      </c>
      <c r="N43" s="274"/>
      <c r="O43" s="569">
        <v>0</v>
      </c>
      <c r="P43" s="424">
        <v>0</v>
      </c>
      <c r="Q43" s="424">
        <v>0</v>
      </c>
      <c r="R43" s="424">
        <v>0</v>
      </c>
      <c r="S43" s="424">
        <v>0</v>
      </c>
      <c r="T43" s="424">
        <v>0</v>
      </c>
      <c r="U43" s="424">
        <v>0</v>
      </c>
      <c r="V43" s="483"/>
      <c r="W43" s="569">
        <v>0</v>
      </c>
      <c r="X43" s="424">
        <f t="shared" si="0"/>
        <v>0</v>
      </c>
      <c r="Y43" s="424">
        <v>0</v>
      </c>
      <c r="Z43" s="408">
        <f t="shared" ref="Z43:AB45" si="38">AA43-Y43</f>
        <v>0</v>
      </c>
      <c r="AA43" s="424">
        <v>0</v>
      </c>
      <c r="AB43" s="408">
        <f t="shared" si="38"/>
        <v>0</v>
      </c>
      <c r="AC43" s="86">
        <v>0</v>
      </c>
      <c r="AD43" s="483"/>
      <c r="AE43" s="85">
        <v>0</v>
      </c>
      <c r="AF43" s="424">
        <f t="shared" si="2"/>
        <v>0</v>
      </c>
      <c r="AG43" s="424">
        <v>0</v>
      </c>
      <c r="AH43" s="424">
        <v>0</v>
      </c>
      <c r="AI43" s="424">
        <v>0</v>
      </c>
      <c r="AJ43" s="424">
        <f t="shared" si="4"/>
        <v>0</v>
      </c>
      <c r="AK43" s="86">
        <v>0</v>
      </c>
      <c r="AL43" s="274"/>
      <c r="AM43" s="85">
        <v>0</v>
      </c>
      <c r="AN43" s="424">
        <v>0</v>
      </c>
      <c r="AO43" s="424">
        <v>0</v>
      </c>
      <c r="AP43" s="424">
        <v>0</v>
      </c>
      <c r="AQ43" s="424">
        <v>0</v>
      </c>
      <c r="AR43" s="424">
        <f t="shared" si="5"/>
        <v>0</v>
      </c>
      <c r="AS43" s="86">
        <v>0</v>
      </c>
      <c r="AT43" s="274"/>
      <c r="AU43" s="85">
        <v>0</v>
      </c>
      <c r="AV43" s="424">
        <v>0</v>
      </c>
      <c r="AW43" s="424">
        <v>0</v>
      </c>
      <c r="AX43" s="424">
        <v>0</v>
      </c>
      <c r="AY43" s="424">
        <v>0</v>
      </c>
      <c r="AZ43" s="424">
        <v>0</v>
      </c>
      <c r="BA43" s="86">
        <v>0</v>
      </c>
      <c r="BB43" s="274"/>
      <c r="BC43" s="85">
        <v>281</v>
      </c>
      <c r="BD43" s="38">
        <v>0</v>
      </c>
      <c r="BE43" s="38">
        <v>281</v>
      </c>
      <c r="BF43" s="38">
        <v>0</v>
      </c>
      <c r="BG43" s="38">
        <v>281</v>
      </c>
      <c r="BH43" s="38">
        <v>0</v>
      </c>
      <c r="BI43" s="86">
        <v>281</v>
      </c>
      <c r="BJ43" s="274"/>
      <c r="BK43" s="85">
        <v>0</v>
      </c>
      <c r="BL43" s="38">
        <v>844</v>
      </c>
      <c r="BM43" s="38">
        <v>844</v>
      </c>
      <c r="BN43" s="38">
        <v>562</v>
      </c>
      <c r="BO43" s="38">
        <v>1406</v>
      </c>
      <c r="BP43" s="38">
        <v>563</v>
      </c>
      <c r="BQ43" s="86">
        <v>1969</v>
      </c>
    </row>
    <row r="44" spans="1:69" ht="17.25" outlineLevel="1" x14ac:dyDescent="0.4">
      <c r="A44" s="310" t="s">
        <v>163</v>
      </c>
      <c r="B44" s="302" t="s">
        <v>34</v>
      </c>
      <c r="C44" s="274"/>
      <c r="D44" s="274"/>
      <c r="E44" s="750">
        <f>E26+1307</f>
        <v>-8898.1220000000012</v>
      </c>
      <c r="F44" s="274"/>
      <c r="G44" s="682">
        <f>215.494+562</f>
        <v>777.49400000000003</v>
      </c>
      <c r="H44" s="687">
        <f>I44-G44</f>
        <v>2866.08</v>
      </c>
      <c r="I44" s="687">
        <f>589.574+3054</f>
        <v>3643.5740000000001</v>
      </c>
      <c r="J44" s="687">
        <f>K44-I44</f>
        <v>4476.7179999999989</v>
      </c>
      <c r="K44" s="687">
        <f>2177.292+5943</f>
        <v>8120.2919999999995</v>
      </c>
      <c r="L44" s="687">
        <f>M44-K44</f>
        <v>5649.5280000000002</v>
      </c>
      <c r="M44" s="688">
        <f>4348.82+9421</f>
        <v>13769.82</v>
      </c>
      <c r="N44" s="274"/>
      <c r="O44" s="571">
        <v>3236.0680000000002</v>
      </c>
      <c r="P44" s="428">
        <v>-572.06800000000021</v>
      </c>
      <c r="Q44" s="428">
        <v>2664</v>
      </c>
      <c r="R44" s="428">
        <v>58</v>
      </c>
      <c r="S44" s="428">
        <v>2722</v>
      </c>
      <c r="T44" s="428">
        <f>U44-S44</f>
        <v>720</v>
      </c>
      <c r="U44" s="428">
        <v>3442</v>
      </c>
      <c r="V44" s="483"/>
      <c r="W44" s="571">
        <v>204</v>
      </c>
      <c r="X44" s="428">
        <f t="shared" si="0"/>
        <v>359</v>
      </c>
      <c r="Y44" s="428">
        <v>563</v>
      </c>
      <c r="Z44" s="410">
        <f t="shared" si="38"/>
        <v>-362</v>
      </c>
      <c r="AA44" s="428">
        <v>201</v>
      </c>
      <c r="AB44" s="410">
        <f t="shared" si="38"/>
        <v>1238.5060000000001</v>
      </c>
      <c r="AC44" s="273">
        <v>1439.5060000000001</v>
      </c>
      <c r="AD44" s="483"/>
      <c r="AE44" s="272">
        <v>312</v>
      </c>
      <c r="AF44" s="428">
        <f t="shared" si="2"/>
        <v>-203</v>
      </c>
      <c r="AG44" s="428">
        <v>109</v>
      </c>
      <c r="AH44" s="428">
        <f t="shared" si="3"/>
        <v>110</v>
      </c>
      <c r="AI44" s="428">
        <v>219</v>
      </c>
      <c r="AJ44" s="428">
        <f t="shared" si="4"/>
        <v>547</v>
      </c>
      <c r="AK44" s="273">
        <v>766</v>
      </c>
      <c r="AL44" s="274"/>
      <c r="AM44" s="272">
        <v>-264</v>
      </c>
      <c r="AN44" s="428">
        <v>131</v>
      </c>
      <c r="AO44" s="428">
        <v>-133</v>
      </c>
      <c r="AP44" s="428">
        <v>-266</v>
      </c>
      <c r="AQ44" s="428">
        <v>-399</v>
      </c>
      <c r="AR44" s="428">
        <f t="shared" si="5"/>
        <v>76</v>
      </c>
      <c r="AS44" s="273">
        <v>-323</v>
      </c>
      <c r="AT44" s="274"/>
      <c r="AU44" s="272">
        <v>-790</v>
      </c>
      <c r="AV44" s="428">
        <v>223</v>
      </c>
      <c r="AW44" s="428">
        <v>-567</v>
      </c>
      <c r="AX44" s="428">
        <v>129</v>
      </c>
      <c r="AY44" s="428">
        <v>-438</v>
      </c>
      <c r="AZ44" s="428">
        <v>400</v>
      </c>
      <c r="BA44" s="273">
        <v>-38</v>
      </c>
      <c r="BB44" s="274"/>
      <c r="BC44" s="272">
        <v>16</v>
      </c>
      <c r="BD44" s="271">
        <v>309</v>
      </c>
      <c r="BE44" s="271">
        <v>325</v>
      </c>
      <c r="BF44" s="271">
        <v>-69</v>
      </c>
      <c r="BG44" s="271">
        <v>256</v>
      </c>
      <c r="BH44" s="271">
        <v>991</v>
      </c>
      <c r="BI44" s="273">
        <v>1247</v>
      </c>
      <c r="BJ44" s="274"/>
      <c r="BK44" s="324">
        <v>0</v>
      </c>
      <c r="BL44" s="325">
        <v>0</v>
      </c>
      <c r="BM44" s="325">
        <v>0</v>
      </c>
      <c r="BN44" s="325">
        <v>0</v>
      </c>
      <c r="BO44" s="325">
        <v>0</v>
      </c>
      <c r="BP44" s="325">
        <v>0</v>
      </c>
      <c r="BQ44" s="326">
        <v>0</v>
      </c>
    </row>
    <row r="45" spans="1:69" x14ac:dyDescent="0.25">
      <c r="A45" s="310" t="s">
        <v>65</v>
      </c>
      <c r="B45" s="308" t="s">
        <v>65</v>
      </c>
      <c r="C45" s="274"/>
      <c r="D45" s="274"/>
      <c r="E45" s="706">
        <f>SUM(E37:E44)</f>
        <v>9197.5160000000051</v>
      </c>
      <c r="F45" s="274"/>
      <c r="G45" s="567">
        <f>SUM(G37:G44)</f>
        <v>12853.629999999997</v>
      </c>
      <c r="H45" s="608">
        <f t="shared" ref="H45:M45" si="39">SUM(H37:H44)</f>
        <v>15792.431999999999</v>
      </c>
      <c r="I45" s="608">
        <f t="shared" si="39"/>
        <v>28646.062000000005</v>
      </c>
      <c r="J45" s="608">
        <f t="shared" si="39"/>
        <v>14835.645000000004</v>
      </c>
      <c r="K45" s="608">
        <f t="shared" si="39"/>
        <v>43481.707000000009</v>
      </c>
      <c r="L45" s="608">
        <f t="shared" si="39"/>
        <v>7389.8690000000042</v>
      </c>
      <c r="M45" s="622">
        <f t="shared" si="39"/>
        <v>50871.576000000001</v>
      </c>
      <c r="N45" s="274"/>
      <c r="O45" s="567">
        <f>SUM(O37:O44)</f>
        <v>10903.067999999999</v>
      </c>
      <c r="P45" s="608">
        <f t="shared" ref="P45:Q45" si="40">SUM(P37:P44)</f>
        <v>9431.9320000000007</v>
      </c>
      <c r="Q45" s="608">
        <f t="shared" si="40"/>
        <v>20335</v>
      </c>
      <c r="R45" s="608">
        <f t="shared" ref="R45:S45" si="41">SUM(R37:R44)</f>
        <v>10258</v>
      </c>
      <c r="S45" s="608">
        <f t="shared" si="41"/>
        <v>30593</v>
      </c>
      <c r="T45" s="608">
        <f t="shared" ref="T45:U45" si="42">SUM(T37:T44)</f>
        <v>15948</v>
      </c>
      <c r="U45" s="608">
        <f t="shared" si="42"/>
        <v>46541</v>
      </c>
      <c r="V45" s="483"/>
      <c r="W45" s="567">
        <v>11354</v>
      </c>
      <c r="X45" s="423">
        <f t="shared" si="0"/>
        <v>13588</v>
      </c>
      <c r="Y45" s="423">
        <v>24942</v>
      </c>
      <c r="Z45" s="406">
        <f t="shared" si="38"/>
        <v>13138</v>
      </c>
      <c r="AA45" s="423">
        <v>38080</v>
      </c>
      <c r="AB45" s="406">
        <f t="shared" si="38"/>
        <v>13966.723000000005</v>
      </c>
      <c r="AC45" s="40">
        <v>52046.723000000005</v>
      </c>
      <c r="AD45" s="483"/>
      <c r="AE45" s="84">
        <v>10246</v>
      </c>
      <c r="AF45" s="423">
        <f t="shared" si="2"/>
        <v>10253</v>
      </c>
      <c r="AG45" s="423">
        <v>20499</v>
      </c>
      <c r="AH45" s="423">
        <f t="shared" si="3"/>
        <v>11000</v>
      </c>
      <c r="AI45" s="423">
        <v>31499</v>
      </c>
      <c r="AJ45" s="423">
        <f t="shared" si="4"/>
        <v>10785</v>
      </c>
      <c r="AK45" s="40">
        <v>42284</v>
      </c>
      <c r="AL45" s="274"/>
      <c r="AM45" s="84">
        <v>7504</v>
      </c>
      <c r="AN45" s="423">
        <v>6939</v>
      </c>
      <c r="AO45" s="423">
        <v>14443</v>
      </c>
      <c r="AP45" s="423">
        <v>8784</v>
      </c>
      <c r="AQ45" s="423">
        <v>23227</v>
      </c>
      <c r="AR45" s="423">
        <v>8914</v>
      </c>
      <c r="AS45" s="40">
        <v>32141</v>
      </c>
      <c r="AT45" s="274"/>
      <c r="AU45" s="84">
        <v>6817</v>
      </c>
      <c r="AV45" s="423">
        <v>6039</v>
      </c>
      <c r="AW45" s="423">
        <v>12856</v>
      </c>
      <c r="AX45" s="423">
        <v>8592</v>
      </c>
      <c r="AY45" s="423">
        <v>21448</v>
      </c>
      <c r="AZ45" s="423">
        <v>8267</v>
      </c>
      <c r="BA45" s="40">
        <v>29715</v>
      </c>
      <c r="BB45" s="274"/>
      <c r="BC45" s="84">
        <v>7038</v>
      </c>
      <c r="BD45" s="39">
        <v>7633</v>
      </c>
      <c r="BE45" s="39">
        <v>14671</v>
      </c>
      <c r="BF45" s="39">
        <v>7441</v>
      </c>
      <c r="BG45" s="39">
        <v>22112</v>
      </c>
      <c r="BH45" s="39">
        <v>5669</v>
      </c>
      <c r="BI45" s="40">
        <v>27781</v>
      </c>
      <c r="BJ45" s="274"/>
      <c r="BK45" s="84">
        <v>3409</v>
      </c>
      <c r="BL45" s="39">
        <v>7698</v>
      </c>
      <c r="BM45" s="39">
        <v>11107</v>
      </c>
      <c r="BN45" s="39">
        <v>7546</v>
      </c>
      <c r="BO45" s="39">
        <v>18653</v>
      </c>
      <c r="BP45" s="39">
        <v>7245</v>
      </c>
      <c r="BQ45" s="40">
        <v>25898</v>
      </c>
    </row>
    <row r="46" spans="1:69" x14ac:dyDescent="0.25">
      <c r="B46" s="308"/>
      <c r="C46" s="274"/>
      <c r="D46" s="274"/>
      <c r="E46" s="730"/>
      <c r="F46" s="274"/>
      <c r="G46" s="572"/>
      <c r="H46" s="423"/>
      <c r="I46" s="423"/>
      <c r="J46" s="423"/>
      <c r="K46" s="423"/>
      <c r="L46" s="406"/>
      <c r="M46" s="40"/>
      <c r="N46" s="274"/>
      <c r="O46" s="572"/>
      <c r="P46" s="423"/>
      <c r="Q46" s="423"/>
      <c r="R46" s="423"/>
      <c r="S46" s="423"/>
      <c r="T46" s="406"/>
      <c r="U46" s="40"/>
      <c r="V46" s="483"/>
      <c r="W46" s="572"/>
      <c r="X46" s="423"/>
      <c r="Y46" s="423"/>
      <c r="Z46" s="406"/>
      <c r="AA46" s="423"/>
      <c r="AB46" s="406"/>
      <c r="AC46" s="40"/>
      <c r="AD46" s="483"/>
      <c r="AE46" s="84"/>
      <c r="AF46" s="423"/>
      <c r="AG46" s="423"/>
      <c r="AH46" s="423"/>
      <c r="AI46" s="423"/>
      <c r="AJ46" s="423"/>
      <c r="AK46" s="40"/>
      <c r="AL46" s="274"/>
      <c r="AM46" s="84"/>
      <c r="AN46" s="423"/>
      <c r="AO46" s="423"/>
      <c r="AP46" s="423"/>
      <c r="AQ46" s="423"/>
      <c r="AR46" s="423"/>
      <c r="AS46" s="40"/>
      <c r="AT46" s="274"/>
      <c r="AU46" s="84"/>
      <c r="AV46" s="423"/>
      <c r="AW46" s="423"/>
      <c r="AX46" s="423"/>
      <c r="AY46" s="423"/>
      <c r="AZ46" s="423"/>
      <c r="BA46" s="40"/>
      <c r="BB46" s="274"/>
      <c r="BC46" s="84"/>
      <c r="BD46" s="39"/>
      <c r="BE46" s="39"/>
      <c r="BF46" s="39"/>
      <c r="BG46" s="39"/>
      <c r="BH46" s="39"/>
      <c r="BI46" s="40"/>
      <c r="BJ46" s="274"/>
      <c r="BK46" s="84"/>
      <c r="BL46" s="39"/>
      <c r="BM46" s="39"/>
      <c r="BN46" s="39"/>
      <c r="BO46" s="39"/>
      <c r="BP46" s="39"/>
      <c r="BQ46" s="40"/>
    </row>
    <row r="47" spans="1:69" x14ac:dyDescent="0.25">
      <c r="B47" s="302"/>
      <c r="C47" s="274"/>
      <c r="D47" s="274"/>
      <c r="E47" s="730"/>
      <c r="F47" s="274"/>
      <c r="G47" s="572"/>
      <c r="H47" s="423"/>
      <c r="I47" s="423"/>
      <c r="J47" s="423"/>
      <c r="K47" s="423"/>
      <c r="L47" s="406"/>
      <c r="M47" s="40"/>
      <c r="N47" s="274"/>
      <c r="O47" s="572"/>
      <c r="P47" s="423"/>
      <c r="Q47" s="423"/>
      <c r="R47" s="423"/>
      <c r="S47" s="423"/>
      <c r="T47" s="406"/>
      <c r="U47" s="40"/>
      <c r="V47" s="483"/>
      <c r="W47" s="572"/>
      <c r="X47" s="423"/>
      <c r="Y47" s="423"/>
      <c r="Z47" s="406"/>
      <c r="AA47" s="470"/>
      <c r="AB47" s="406"/>
      <c r="AC47" s="40"/>
      <c r="AD47" s="483"/>
      <c r="AE47" s="84"/>
      <c r="AF47" s="423"/>
      <c r="AG47" s="423"/>
      <c r="AH47" s="423"/>
      <c r="AI47" s="423"/>
      <c r="AJ47" s="423"/>
      <c r="AK47" s="40">
        <v>0</v>
      </c>
      <c r="AL47" s="274"/>
      <c r="AM47" s="84"/>
      <c r="AN47" s="423"/>
      <c r="AO47" s="423"/>
      <c r="AP47" s="423"/>
      <c r="AQ47" s="423"/>
      <c r="AR47" s="423"/>
      <c r="AS47" s="40"/>
      <c r="AT47" s="274"/>
      <c r="AU47" s="84"/>
      <c r="AV47" s="423"/>
      <c r="AW47" s="423"/>
      <c r="AX47" s="423"/>
      <c r="AY47" s="423"/>
      <c r="AZ47" s="423"/>
      <c r="BA47" s="40"/>
      <c r="BB47" s="274"/>
      <c r="BC47" s="84"/>
      <c r="BD47" s="423"/>
      <c r="BE47" s="423"/>
      <c r="BF47" s="423"/>
      <c r="BG47" s="423"/>
      <c r="BH47" s="423"/>
      <c r="BI47" s="40"/>
      <c r="BJ47" s="274"/>
      <c r="BK47" s="84"/>
      <c r="BL47" s="423"/>
      <c r="BM47" s="423"/>
      <c r="BN47" s="423"/>
      <c r="BO47" s="423"/>
      <c r="BP47" s="423"/>
      <c r="BQ47" s="40"/>
    </row>
    <row r="48" spans="1:69" x14ac:dyDescent="0.25">
      <c r="A48" s="310" t="s">
        <v>221</v>
      </c>
      <c r="B48" s="308" t="s">
        <v>25</v>
      </c>
      <c r="C48" s="274"/>
      <c r="D48" s="274"/>
      <c r="E48" s="730">
        <f>446666.211-187.5</f>
        <v>446478.71100000001</v>
      </c>
      <c r="F48" s="274"/>
      <c r="G48" s="572">
        <v>459811.56300000002</v>
      </c>
      <c r="H48" s="423"/>
      <c r="I48" s="423">
        <v>454842.95</v>
      </c>
      <c r="J48" s="423"/>
      <c r="K48" s="423">
        <v>464274.66399999999</v>
      </c>
      <c r="L48" s="406"/>
      <c r="M48" s="40">
        <v>440251.97499999998</v>
      </c>
      <c r="N48" s="274"/>
      <c r="O48" s="572">
        <v>304395</v>
      </c>
      <c r="P48" s="423"/>
      <c r="Q48" s="423">
        <v>298807</v>
      </c>
      <c r="R48" s="423"/>
      <c r="S48" s="423">
        <v>298864</v>
      </c>
      <c r="T48" s="406"/>
      <c r="U48" s="423">
        <v>468680</v>
      </c>
      <c r="V48" s="483"/>
      <c r="W48" s="572">
        <v>329624</v>
      </c>
      <c r="X48" s="423"/>
      <c r="Y48" s="423">
        <v>322661</v>
      </c>
      <c r="Z48" s="406"/>
      <c r="AA48" s="423">
        <v>320699.09000000003</v>
      </c>
      <c r="AB48" s="406"/>
      <c r="AC48" s="40">
        <v>312686.24400000001</v>
      </c>
      <c r="AD48" s="483"/>
      <c r="AE48" s="84">
        <v>346464</v>
      </c>
      <c r="AF48" s="423">
        <v>344013</v>
      </c>
      <c r="AG48" s="423"/>
      <c r="AH48" s="423"/>
      <c r="AI48" s="423">
        <v>340805</v>
      </c>
      <c r="AJ48" s="423"/>
      <c r="AK48" s="40">
        <v>332382</v>
      </c>
      <c r="AL48" s="274"/>
      <c r="AM48" s="84">
        <v>272697</v>
      </c>
      <c r="AN48" s="423">
        <v>271257</v>
      </c>
      <c r="AO48" s="423"/>
      <c r="AP48" s="423">
        <v>268015</v>
      </c>
      <c r="AQ48" s="423"/>
      <c r="AR48" s="423">
        <v>334837</v>
      </c>
      <c r="AS48" s="40"/>
      <c r="AT48" s="274"/>
      <c r="AU48" s="84">
        <v>251168</v>
      </c>
      <c r="AV48" s="423">
        <v>257885</v>
      </c>
      <c r="AW48" s="274"/>
      <c r="AX48" s="423">
        <v>264323</v>
      </c>
      <c r="AY48" s="274"/>
      <c r="AZ48" s="423">
        <v>274203</v>
      </c>
      <c r="BA48" s="315"/>
      <c r="BB48" s="274"/>
      <c r="BC48" s="84">
        <v>262965</v>
      </c>
      <c r="BD48" s="39">
        <v>259441</v>
      </c>
      <c r="BE48" s="39"/>
      <c r="BF48" s="39">
        <v>261025</v>
      </c>
      <c r="BG48" s="274"/>
      <c r="BH48" s="39">
        <v>253741</v>
      </c>
      <c r="BI48" s="315"/>
      <c r="BJ48" s="274"/>
      <c r="BK48" s="84">
        <v>257704</v>
      </c>
      <c r="BL48" s="39">
        <v>255672</v>
      </c>
      <c r="BM48" s="39"/>
      <c r="BN48" s="39">
        <v>257757</v>
      </c>
      <c r="BO48" s="274"/>
      <c r="BP48" s="39">
        <v>252035</v>
      </c>
      <c r="BQ48" s="315"/>
    </row>
    <row r="49" spans="1:69" x14ac:dyDescent="0.25">
      <c r="B49" s="308"/>
      <c r="C49" s="274"/>
      <c r="D49" s="274"/>
      <c r="E49" s="730"/>
      <c r="F49" s="274"/>
      <c r="G49" s="572"/>
      <c r="H49" s="423"/>
      <c r="I49" s="423"/>
      <c r="J49" s="423"/>
      <c r="K49" s="423"/>
      <c r="L49" s="406"/>
      <c r="M49" s="40"/>
      <c r="N49" s="274"/>
      <c r="O49" s="572"/>
      <c r="P49" s="423"/>
      <c r="Q49" s="423"/>
      <c r="R49" s="423"/>
      <c r="S49" s="423"/>
      <c r="T49" s="406"/>
      <c r="U49" s="423"/>
      <c r="V49" s="483"/>
      <c r="W49" s="572"/>
      <c r="X49" s="423"/>
      <c r="Y49" s="423"/>
      <c r="Z49" s="406"/>
      <c r="AA49" s="423"/>
      <c r="AB49" s="406"/>
      <c r="AC49" s="40"/>
      <c r="AD49" s="483"/>
      <c r="AE49" s="84"/>
      <c r="AF49" s="423"/>
      <c r="AG49" s="423"/>
      <c r="AH49" s="423"/>
      <c r="AI49" s="423"/>
      <c r="AJ49" s="423"/>
      <c r="AK49" s="40">
        <v>0</v>
      </c>
      <c r="AL49" s="274"/>
      <c r="AM49" s="84"/>
      <c r="AN49" s="423"/>
      <c r="AO49" s="423"/>
      <c r="AP49" s="423"/>
      <c r="AQ49" s="423"/>
      <c r="AR49" s="423"/>
      <c r="AS49" s="40"/>
      <c r="AT49" s="274"/>
      <c r="AU49" s="84"/>
      <c r="AV49" s="423"/>
      <c r="AW49" s="274"/>
      <c r="AX49" s="423"/>
      <c r="AY49" s="274"/>
      <c r="AZ49" s="274"/>
      <c r="BA49" s="315"/>
      <c r="BB49" s="274"/>
      <c r="BC49" s="84"/>
      <c r="BD49" s="39"/>
      <c r="BE49" s="39"/>
      <c r="BF49" s="39"/>
      <c r="BG49" s="274"/>
      <c r="BH49" s="39"/>
      <c r="BI49" s="315"/>
      <c r="BJ49" s="274"/>
      <c r="BK49" s="84"/>
      <c r="BL49" s="39"/>
      <c r="BM49" s="39"/>
      <c r="BN49" s="39"/>
      <c r="BO49" s="274"/>
      <c r="BP49" s="39"/>
      <c r="BQ49" s="315"/>
    </row>
    <row r="50" spans="1:69" outlineLevel="1" x14ac:dyDescent="0.25">
      <c r="A50" s="310" t="s">
        <v>222</v>
      </c>
      <c r="B50" s="302" t="s">
        <v>26</v>
      </c>
      <c r="C50" s="274"/>
      <c r="D50" s="274"/>
      <c r="E50" s="745">
        <v>160753.734</v>
      </c>
      <c r="F50" s="274"/>
      <c r="G50" s="573">
        <v>194042.41800000001</v>
      </c>
      <c r="H50" s="424"/>
      <c r="I50" s="424">
        <v>183573.89600000001</v>
      </c>
      <c r="J50" s="424"/>
      <c r="K50" s="424">
        <v>174774.47500000001</v>
      </c>
      <c r="L50" s="408"/>
      <c r="M50" s="86">
        <v>168887.68299999999</v>
      </c>
      <c r="N50" s="274"/>
      <c r="O50" s="573">
        <v>72250</v>
      </c>
      <c r="P50" s="424"/>
      <c r="Q50" s="424">
        <v>65710</v>
      </c>
      <c r="R50" s="424"/>
      <c r="S50" s="424">
        <v>62080</v>
      </c>
      <c r="T50" s="408"/>
      <c r="U50" s="424">
        <v>199401</v>
      </c>
      <c r="V50" s="483"/>
      <c r="W50" s="573">
        <v>110571</v>
      </c>
      <c r="X50" s="424"/>
      <c r="Y50" s="424">
        <v>98402</v>
      </c>
      <c r="Z50" s="408"/>
      <c r="AA50" s="423">
        <v>87873.153999999995</v>
      </c>
      <c r="AB50" s="408"/>
      <c r="AC50" s="86">
        <v>79282.444000000003</v>
      </c>
      <c r="AD50" s="483"/>
      <c r="AE50" s="85">
        <v>138236</v>
      </c>
      <c r="AF50" s="424">
        <v>136650</v>
      </c>
      <c r="AG50" s="424"/>
      <c r="AH50" s="424"/>
      <c r="AI50" s="424">
        <v>126110</v>
      </c>
      <c r="AJ50" s="424"/>
      <c r="AK50" s="86">
        <v>118439</v>
      </c>
      <c r="AL50" s="274"/>
      <c r="AM50" s="85">
        <v>86119</v>
      </c>
      <c r="AN50" s="424">
        <v>83180</v>
      </c>
      <c r="AO50" s="424"/>
      <c r="AP50" s="424">
        <v>76745</v>
      </c>
      <c r="AQ50" s="424"/>
      <c r="AR50" s="424">
        <v>132261</v>
      </c>
      <c r="AS50" s="86"/>
      <c r="AT50" s="274"/>
      <c r="AU50" s="85">
        <v>85819</v>
      </c>
      <c r="AV50" s="424">
        <v>92415</v>
      </c>
      <c r="AW50" s="274"/>
      <c r="AX50" s="424">
        <v>87502</v>
      </c>
      <c r="AY50" s="274"/>
      <c r="AZ50" s="424">
        <v>90095</v>
      </c>
      <c r="BA50" s="315"/>
      <c r="BB50" s="274"/>
      <c r="BC50" s="85">
        <v>102337</v>
      </c>
      <c r="BD50" s="38">
        <v>98927</v>
      </c>
      <c r="BE50" s="38"/>
      <c r="BF50" s="38">
        <v>95932</v>
      </c>
      <c r="BG50" s="274"/>
      <c r="BH50" s="38">
        <v>88268</v>
      </c>
      <c r="BI50" s="315"/>
      <c r="BJ50" s="274"/>
      <c r="BK50" s="85">
        <v>112000</v>
      </c>
      <c r="BL50" s="38">
        <v>108667</v>
      </c>
      <c r="BM50" s="38"/>
      <c r="BN50" s="38">
        <v>106996</v>
      </c>
      <c r="BO50" s="274"/>
      <c r="BP50" s="38">
        <v>101967</v>
      </c>
      <c r="BQ50" s="315"/>
    </row>
    <row r="51" spans="1:69" ht="17.25" outlineLevel="1" x14ac:dyDescent="0.4">
      <c r="B51" s="302" t="s">
        <v>28</v>
      </c>
      <c r="C51" s="274"/>
      <c r="D51" s="274"/>
      <c r="E51" s="746">
        <f>92354.937-187.5</f>
        <v>92167.437000000005</v>
      </c>
      <c r="F51" s="274"/>
      <c r="G51" s="574">
        <v>71560</v>
      </c>
      <c r="H51" s="428"/>
      <c r="I51" s="428">
        <v>74569.139999999985</v>
      </c>
      <c r="J51" s="428"/>
      <c r="K51" s="428">
        <v>92955.01999999999</v>
      </c>
      <c r="L51" s="409"/>
      <c r="M51" s="273">
        <v>82025.385999999999</v>
      </c>
      <c r="N51" s="274"/>
      <c r="O51" s="574">
        <v>41060</v>
      </c>
      <c r="P51" s="428"/>
      <c r="Q51" s="428">
        <v>40272</v>
      </c>
      <c r="R51" s="428"/>
      <c r="S51" s="428">
        <v>41867</v>
      </c>
      <c r="T51" s="409"/>
      <c r="U51" s="428">
        <v>75059</v>
      </c>
      <c r="V51" s="483"/>
      <c r="W51" s="574">
        <v>43460</v>
      </c>
      <c r="X51" s="428"/>
      <c r="Y51" s="428">
        <v>43352</v>
      </c>
      <c r="Z51" s="409"/>
      <c r="AA51" s="428">
        <f>AA52-AA50</f>
        <v>46959.319999999992</v>
      </c>
      <c r="AB51" s="409"/>
      <c r="AC51" s="273">
        <v>43407.203999999998</v>
      </c>
      <c r="AD51" s="483"/>
      <c r="AE51" s="272">
        <v>45134</v>
      </c>
      <c r="AF51" s="428">
        <v>41544</v>
      </c>
      <c r="AG51" s="428"/>
      <c r="AH51" s="428"/>
      <c r="AI51" s="428">
        <v>45869</v>
      </c>
      <c r="AJ51" s="428"/>
      <c r="AK51" s="273">
        <v>41979</v>
      </c>
      <c r="AL51" s="274"/>
      <c r="AM51" s="272">
        <v>31697</v>
      </c>
      <c r="AN51" s="428">
        <v>31222</v>
      </c>
      <c r="AO51" s="428"/>
      <c r="AP51" s="428">
        <v>32686</v>
      </c>
      <c r="AQ51" s="428"/>
      <c r="AR51" s="428">
        <v>41912</v>
      </c>
      <c r="AS51" s="273"/>
      <c r="AT51" s="274"/>
      <c r="AU51" s="272">
        <v>19135</v>
      </c>
      <c r="AV51" s="428">
        <v>18100</v>
      </c>
      <c r="AW51" s="274"/>
      <c r="AX51" s="428">
        <v>27029</v>
      </c>
      <c r="AY51" s="274"/>
      <c r="AZ51" s="428">
        <v>31471</v>
      </c>
      <c r="BA51" s="315"/>
      <c r="BB51" s="274"/>
      <c r="BC51" s="272">
        <v>18091</v>
      </c>
      <c r="BD51" s="271">
        <v>16310</v>
      </c>
      <c r="BE51" s="271"/>
      <c r="BF51" s="271">
        <v>19266</v>
      </c>
      <c r="BG51" s="274"/>
      <c r="BH51" s="271">
        <v>19671</v>
      </c>
      <c r="BI51" s="315"/>
      <c r="BJ51" s="274"/>
      <c r="BK51" s="272">
        <v>6291</v>
      </c>
      <c r="BL51" s="271">
        <v>6917</v>
      </c>
      <c r="BM51" s="271"/>
      <c r="BN51" s="271">
        <v>9485</v>
      </c>
      <c r="BO51" s="274"/>
      <c r="BP51" s="271">
        <v>8340</v>
      </c>
      <c r="BQ51" s="315"/>
    </row>
    <row r="52" spans="1:69" x14ac:dyDescent="0.25">
      <c r="A52" s="310" t="s">
        <v>223</v>
      </c>
      <c r="B52" s="308" t="s">
        <v>29</v>
      </c>
      <c r="C52" s="274"/>
      <c r="D52" s="274"/>
      <c r="E52" s="730">
        <f>253108.671-187.5</f>
        <v>252921.171</v>
      </c>
      <c r="F52" s="274"/>
      <c r="G52" s="572">
        <v>265602.41800000001</v>
      </c>
      <c r="H52" s="423"/>
      <c r="I52" s="423">
        <v>258143.03599999999</v>
      </c>
      <c r="J52" s="423"/>
      <c r="K52" s="423">
        <v>267729.495</v>
      </c>
      <c r="L52" s="406"/>
      <c r="M52" s="40">
        <v>250913.06899999999</v>
      </c>
      <c r="N52" s="274"/>
      <c r="O52" s="572">
        <f>SUM(O50:O51)</f>
        <v>113310</v>
      </c>
      <c r="P52" s="423"/>
      <c r="Q52" s="423">
        <f>SUM(Q50:Q51)</f>
        <v>105982</v>
      </c>
      <c r="R52" s="423"/>
      <c r="S52" s="423">
        <f>SUM(S50:S51)</f>
        <v>103947</v>
      </c>
      <c r="T52" s="406"/>
      <c r="U52" s="423">
        <f>SUM(U50:U51)</f>
        <v>274460</v>
      </c>
      <c r="V52" s="483"/>
      <c r="W52" s="572">
        <v>154031</v>
      </c>
      <c r="X52" s="423"/>
      <c r="Y52" s="423">
        <v>141754</v>
      </c>
      <c r="Z52" s="406"/>
      <c r="AA52" s="423">
        <v>134832.47399999999</v>
      </c>
      <c r="AB52" s="406"/>
      <c r="AC52" s="40">
        <v>122689.648</v>
      </c>
      <c r="AD52" s="483"/>
      <c r="AE52" s="84">
        <v>183370</v>
      </c>
      <c r="AF52" s="423">
        <v>178194</v>
      </c>
      <c r="AG52" s="423"/>
      <c r="AH52" s="423"/>
      <c r="AI52" s="423">
        <v>171979</v>
      </c>
      <c r="AJ52" s="423"/>
      <c r="AK52" s="40">
        <v>160418</v>
      </c>
      <c r="AL52" s="274"/>
      <c r="AM52" s="84">
        <v>117816</v>
      </c>
      <c r="AN52" s="423">
        <v>114402</v>
      </c>
      <c r="AO52" s="423"/>
      <c r="AP52" s="423">
        <v>109431</v>
      </c>
      <c r="AQ52" s="423"/>
      <c r="AR52" s="423">
        <v>174173</v>
      </c>
      <c r="AS52" s="40"/>
      <c r="AT52" s="274"/>
      <c r="AU52" s="84">
        <v>104954</v>
      </c>
      <c r="AV52" s="423">
        <v>110515</v>
      </c>
      <c r="AW52" s="274"/>
      <c r="AX52" s="423">
        <v>114531</v>
      </c>
      <c r="AY52" s="274"/>
      <c r="AZ52" s="423">
        <v>121566</v>
      </c>
      <c r="BA52" s="315"/>
      <c r="BB52" s="274"/>
      <c r="BC52" s="84">
        <v>120428</v>
      </c>
      <c r="BD52" s="39">
        <v>115237</v>
      </c>
      <c r="BE52" s="39"/>
      <c r="BF52" s="39">
        <v>115198</v>
      </c>
      <c r="BG52" s="274"/>
      <c r="BH52" s="39">
        <v>107939</v>
      </c>
      <c r="BI52" s="315"/>
      <c r="BJ52" s="274"/>
      <c r="BK52" s="84">
        <v>118291</v>
      </c>
      <c r="BL52" s="39">
        <v>115584</v>
      </c>
      <c r="BM52" s="39"/>
      <c r="BN52" s="39">
        <v>116481</v>
      </c>
      <c r="BO52" s="274"/>
      <c r="BP52" s="39">
        <v>110307</v>
      </c>
      <c r="BQ52" s="315"/>
    </row>
    <row r="53" spans="1:69" x14ac:dyDescent="0.25">
      <c r="B53" s="308"/>
      <c r="C53" s="274"/>
      <c r="D53" s="274"/>
      <c r="E53" s="730"/>
      <c r="F53" s="274"/>
      <c r="G53" s="572"/>
      <c r="H53" s="423"/>
      <c r="I53" s="423"/>
      <c r="J53" s="423"/>
      <c r="K53" s="423"/>
      <c r="L53" s="406"/>
      <c r="M53" s="40"/>
      <c r="N53" s="274"/>
      <c r="O53" s="572"/>
      <c r="P53" s="423"/>
      <c r="Q53" s="423"/>
      <c r="R53" s="423"/>
      <c r="S53" s="423"/>
      <c r="T53" s="406"/>
      <c r="U53" s="423"/>
      <c r="V53" s="483"/>
      <c r="W53" s="572"/>
      <c r="X53" s="423"/>
      <c r="Y53" s="423"/>
      <c r="Z53" s="406"/>
      <c r="AA53" s="423"/>
      <c r="AB53" s="406"/>
      <c r="AC53" s="40"/>
      <c r="AD53" s="483"/>
      <c r="AE53" s="84"/>
      <c r="AF53" s="423"/>
      <c r="AG53" s="423"/>
      <c r="AH53" s="423"/>
      <c r="AI53" s="423"/>
      <c r="AJ53" s="423"/>
      <c r="AK53" s="40">
        <v>0</v>
      </c>
      <c r="AL53" s="274"/>
      <c r="AM53" s="84"/>
      <c r="AN53" s="423"/>
      <c r="AO53" s="423"/>
      <c r="AP53" s="423"/>
      <c r="AQ53" s="423"/>
      <c r="AR53" s="423"/>
      <c r="AS53" s="40"/>
      <c r="AT53" s="274"/>
      <c r="AU53" s="84"/>
      <c r="AV53" s="423"/>
      <c r="AW53" s="274"/>
      <c r="AX53" s="423"/>
      <c r="AY53" s="274"/>
      <c r="AZ53" s="274"/>
      <c r="BA53" s="315"/>
      <c r="BB53" s="274"/>
      <c r="BC53" s="84"/>
      <c r="BD53" s="39"/>
      <c r="BE53" s="39"/>
      <c r="BF53" s="39"/>
      <c r="BG53" s="274"/>
      <c r="BH53" s="39"/>
      <c r="BI53" s="315"/>
      <c r="BJ53" s="274"/>
      <c r="BK53" s="84"/>
      <c r="BL53" s="39"/>
      <c r="BM53" s="39"/>
      <c r="BN53" s="39"/>
      <c r="BO53" s="274"/>
      <c r="BP53" s="39"/>
      <c r="BQ53" s="315"/>
    </row>
    <row r="54" spans="1:69" x14ac:dyDescent="0.25">
      <c r="A54" s="310" t="s">
        <v>224</v>
      </c>
      <c r="B54" s="308" t="s">
        <v>36</v>
      </c>
      <c r="C54" s="274"/>
      <c r="D54" s="274"/>
      <c r="E54" s="730">
        <v>193557.53991999998</v>
      </c>
      <c r="F54" s="274"/>
      <c r="G54" s="572">
        <v>194209.14491999999</v>
      </c>
      <c r="H54" s="423"/>
      <c r="I54" s="423">
        <v>196699.91391999999</v>
      </c>
      <c r="J54" s="423"/>
      <c r="K54" s="423">
        <v>196545.16892</v>
      </c>
      <c r="L54" s="406"/>
      <c r="M54" s="40">
        <v>189338.90591999999</v>
      </c>
      <c r="N54" s="274"/>
      <c r="O54" s="572">
        <v>191085</v>
      </c>
      <c r="P54" s="423"/>
      <c r="Q54" s="423">
        <v>192825</v>
      </c>
      <c r="R54" s="423"/>
      <c r="S54" s="423">
        <v>194917</v>
      </c>
      <c r="T54" s="406"/>
      <c r="U54" s="423">
        <v>194220</v>
      </c>
      <c r="V54" s="483"/>
      <c r="W54" s="572">
        <v>175593</v>
      </c>
      <c r="X54" s="423"/>
      <c r="Y54" s="423">
        <v>180907</v>
      </c>
      <c r="Z54" s="406"/>
      <c r="AA54" s="423">
        <v>185866.60491999998</v>
      </c>
      <c r="AB54" s="406"/>
      <c r="AC54" s="40">
        <v>189996.59591999999</v>
      </c>
      <c r="AD54" s="483"/>
      <c r="AE54" s="84">
        <v>163094</v>
      </c>
      <c r="AF54" s="423">
        <v>165819</v>
      </c>
      <c r="AG54" s="423"/>
      <c r="AH54" s="423"/>
      <c r="AI54" s="423">
        <v>168826</v>
      </c>
      <c r="AJ54" s="423"/>
      <c r="AK54" s="40">
        <v>171964</v>
      </c>
      <c r="AL54" s="274"/>
      <c r="AM54" s="84">
        <v>154881</v>
      </c>
      <c r="AN54" s="423">
        <v>156855</v>
      </c>
      <c r="AO54" s="423"/>
      <c r="AP54" s="423">
        <v>158584</v>
      </c>
      <c r="AQ54" s="423"/>
      <c r="AR54" s="423">
        <v>160664</v>
      </c>
      <c r="AS54" s="40"/>
      <c r="AT54" s="274"/>
      <c r="AU54" s="84">
        <v>146214</v>
      </c>
      <c r="AV54" s="423">
        <v>147370</v>
      </c>
      <c r="AW54" s="274"/>
      <c r="AX54" s="423">
        <v>149792</v>
      </c>
      <c r="AY54" s="274"/>
      <c r="AZ54" s="423">
        <v>152637</v>
      </c>
      <c r="BA54" s="315"/>
      <c r="BB54" s="274"/>
      <c r="BC54" s="84">
        <v>142537</v>
      </c>
      <c r="BD54" s="39">
        <v>144204</v>
      </c>
      <c r="BE54" s="39"/>
      <c r="BF54" s="39">
        <v>145827</v>
      </c>
      <c r="BG54" s="274"/>
      <c r="BH54" s="39">
        <v>145802</v>
      </c>
      <c r="BI54" s="315"/>
      <c r="BJ54" s="274"/>
      <c r="BK54" s="84">
        <v>139413</v>
      </c>
      <c r="BL54" s="39">
        <v>140088</v>
      </c>
      <c r="BM54" s="39"/>
      <c r="BN54" s="39">
        <v>141276</v>
      </c>
      <c r="BO54" s="274"/>
      <c r="BP54" s="39">
        <v>141728</v>
      </c>
      <c r="BQ54" s="315"/>
    </row>
    <row r="55" spans="1:69" x14ac:dyDescent="0.25">
      <c r="B55" s="302"/>
      <c r="C55" s="274"/>
      <c r="D55" s="274"/>
      <c r="E55" s="747"/>
      <c r="F55" s="274"/>
      <c r="G55" s="575"/>
      <c r="H55" s="423"/>
      <c r="I55" s="423"/>
      <c r="J55" s="423"/>
      <c r="K55" s="423"/>
      <c r="L55" s="406"/>
      <c r="M55" s="40"/>
      <c r="N55" s="274"/>
      <c r="O55" s="575"/>
      <c r="P55" s="423"/>
      <c r="Q55" s="423"/>
      <c r="R55" s="423"/>
      <c r="S55" s="423"/>
      <c r="T55" s="406"/>
      <c r="U55" s="423"/>
      <c r="V55" s="483"/>
      <c r="W55" s="575"/>
      <c r="X55" s="423"/>
      <c r="Y55" s="423"/>
      <c r="Z55" s="406"/>
      <c r="AA55" s="445"/>
      <c r="AB55" s="406"/>
      <c r="AC55" s="40"/>
      <c r="AD55" s="483"/>
      <c r="AE55" s="84"/>
      <c r="AF55" s="423"/>
      <c r="AG55" s="423"/>
      <c r="AH55" s="423"/>
      <c r="AI55" s="423"/>
      <c r="AJ55" s="423"/>
      <c r="AK55" s="40">
        <v>0</v>
      </c>
      <c r="AL55" s="274"/>
      <c r="AM55" s="84"/>
      <c r="AN55" s="423"/>
      <c r="AO55" s="423"/>
      <c r="AP55" s="423"/>
      <c r="AQ55" s="423"/>
      <c r="AR55" s="423"/>
      <c r="AS55" s="40"/>
      <c r="AT55" s="274"/>
      <c r="AU55" s="84"/>
      <c r="AV55" s="274"/>
      <c r="AW55" s="274"/>
      <c r="AX55" s="274"/>
      <c r="AY55" s="274"/>
      <c r="AZ55" s="274"/>
      <c r="BA55" s="315"/>
      <c r="BB55" s="274"/>
      <c r="BC55" s="84"/>
      <c r="BD55" s="39"/>
      <c r="BE55" s="39"/>
      <c r="BF55" s="39"/>
      <c r="BG55" s="274"/>
      <c r="BH55" s="274"/>
      <c r="BI55" s="315"/>
      <c r="BJ55" s="274"/>
      <c r="BK55" s="84"/>
      <c r="BL55" s="39"/>
      <c r="BM55" s="39"/>
      <c r="BN55" s="39"/>
      <c r="BO55" s="274"/>
      <c r="BP55" s="274"/>
      <c r="BQ55" s="315"/>
    </row>
    <row r="56" spans="1:69" x14ac:dyDescent="0.25">
      <c r="A56" s="310" t="s">
        <v>231</v>
      </c>
      <c r="B56" s="308" t="s">
        <v>66</v>
      </c>
      <c r="C56" s="274"/>
      <c r="D56" s="274"/>
      <c r="E56" s="732">
        <v>1562</v>
      </c>
      <c r="F56" s="274"/>
      <c r="G56" s="639">
        <v>2025</v>
      </c>
      <c r="H56" s="653">
        <f>I56-G56</f>
        <v>1622</v>
      </c>
      <c r="I56" s="653">
        <v>3647</v>
      </c>
      <c r="J56" s="653">
        <f>K56-I56</f>
        <v>3172</v>
      </c>
      <c r="K56" s="653">
        <v>6819</v>
      </c>
      <c r="L56" s="653">
        <f>M56-K56</f>
        <v>3479</v>
      </c>
      <c r="M56" s="657">
        <v>10298</v>
      </c>
      <c r="N56" s="274"/>
      <c r="O56" s="575">
        <v>680</v>
      </c>
      <c r="P56" s="423">
        <v>1900</v>
      </c>
      <c r="Q56" s="423">
        <v>2580</v>
      </c>
      <c r="R56" s="423">
        <v>1216</v>
      </c>
      <c r="S56" s="423">
        <v>3796</v>
      </c>
      <c r="T56" s="423">
        <f>U56-S56</f>
        <v>4278</v>
      </c>
      <c r="U56" s="423">
        <v>8074</v>
      </c>
      <c r="V56" s="483"/>
      <c r="W56" s="575">
        <v>1254</v>
      </c>
      <c r="X56" s="423">
        <f t="shared" ref="X56" si="43">Y56-W56</f>
        <v>954</v>
      </c>
      <c r="Y56" s="423">
        <v>2208</v>
      </c>
      <c r="Z56" s="406">
        <f t="shared" ref="Z56:AB56" si="44">AA56-Y56</f>
        <v>749</v>
      </c>
      <c r="AA56" s="454">
        <v>2957</v>
      </c>
      <c r="AB56" s="406">
        <f t="shared" si="44"/>
        <v>2807</v>
      </c>
      <c r="AC56" s="40">
        <v>5764</v>
      </c>
      <c r="AD56" s="483"/>
      <c r="AE56" s="84">
        <v>633</v>
      </c>
      <c r="AF56" s="423">
        <f>AG56-AE56</f>
        <v>857</v>
      </c>
      <c r="AG56" s="423">
        <v>1490</v>
      </c>
      <c r="AH56" s="423">
        <f t="shared" si="3"/>
        <v>714</v>
      </c>
      <c r="AI56" s="423">
        <v>2204</v>
      </c>
      <c r="AJ56" s="423"/>
      <c r="AK56" s="40">
        <v>3182</v>
      </c>
      <c r="AL56" s="274"/>
      <c r="AM56" s="84">
        <v>582</v>
      </c>
      <c r="AN56" s="423">
        <v>671</v>
      </c>
      <c r="AO56" s="423">
        <v>1253</v>
      </c>
      <c r="AP56" s="423">
        <v>859</v>
      </c>
      <c r="AQ56" s="423">
        <v>2112</v>
      </c>
      <c r="AR56" s="423">
        <f>AS56-AQ56</f>
        <v>689</v>
      </c>
      <c r="AS56" s="40">
        <v>2801</v>
      </c>
      <c r="AT56" s="274"/>
      <c r="AU56" s="84">
        <v>526</v>
      </c>
      <c r="AV56" s="423">
        <v>449</v>
      </c>
      <c r="AW56" s="429">
        <v>975</v>
      </c>
      <c r="AX56" s="423">
        <v>543</v>
      </c>
      <c r="AY56" s="429">
        <v>1518</v>
      </c>
      <c r="AZ56" s="429">
        <v>769</v>
      </c>
      <c r="BA56" s="332">
        <v>2287</v>
      </c>
      <c r="BB56" s="274"/>
      <c r="BC56" s="84">
        <v>498</v>
      </c>
      <c r="BD56" s="39">
        <v>438</v>
      </c>
      <c r="BE56" s="39">
        <v>936</v>
      </c>
      <c r="BF56" s="39">
        <v>451</v>
      </c>
      <c r="BG56" s="340">
        <v>1387</v>
      </c>
      <c r="BH56" s="39">
        <v>359</v>
      </c>
      <c r="BI56" s="332">
        <v>1746</v>
      </c>
      <c r="BJ56" s="274"/>
      <c r="BK56" s="84">
        <v>398</v>
      </c>
      <c r="BL56" s="39">
        <v>542</v>
      </c>
      <c r="BM56" s="39">
        <v>940</v>
      </c>
      <c r="BN56" s="39">
        <v>515</v>
      </c>
      <c r="BO56" s="340">
        <v>1455</v>
      </c>
      <c r="BP56" s="39">
        <v>340</v>
      </c>
      <c r="BQ56" s="332">
        <v>1795</v>
      </c>
    </row>
    <row r="57" spans="1:69" ht="11.25" customHeight="1" x14ac:dyDescent="0.25">
      <c r="B57" s="308"/>
      <c r="C57" s="274"/>
      <c r="D57" s="274"/>
      <c r="E57" s="732"/>
      <c r="F57" s="274"/>
      <c r="G57" s="639"/>
      <c r="H57" s="653"/>
      <c r="I57" s="653"/>
      <c r="J57" s="653"/>
      <c r="K57" s="653"/>
      <c r="L57" s="653"/>
      <c r="M57" s="657"/>
      <c r="N57" s="274"/>
      <c r="O57" s="575"/>
      <c r="P57" s="423"/>
      <c r="Q57" s="423"/>
      <c r="R57" s="423"/>
      <c r="S57" s="423"/>
      <c r="T57" s="423"/>
      <c r="U57" s="423"/>
      <c r="V57" s="483"/>
      <c r="W57" s="575"/>
      <c r="X57" s="423"/>
      <c r="Y57" s="423"/>
      <c r="Z57" s="406"/>
      <c r="AA57" s="445"/>
      <c r="AB57" s="406"/>
      <c r="AC57" s="40"/>
      <c r="AD57" s="483"/>
      <c r="AE57" s="84"/>
      <c r="AF57" s="423"/>
      <c r="AG57" s="423"/>
      <c r="AH57" s="423"/>
      <c r="AI57" s="423"/>
      <c r="AJ57" s="423"/>
      <c r="AK57" s="40">
        <v>0</v>
      </c>
      <c r="AL57" s="274"/>
      <c r="AM57" s="84"/>
      <c r="AN57" s="423"/>
      <c r="AO57" s="423"/>
      <c r="AP57" s="423"/>
      <c r="AQ57" s="423"/>
      <c r="AR57" s="423"/>
      <c r="AS57" s="40"/>
      <c r="AT57" s="274"/>
      <c r="AU57" s="84"/>
      <c r="AV57" s="423"/>
      <c r="AW57" s="429"/>
      <c r="AX57" s="429"/>
      <c r="AY57" s="429"/>
      <c r="AZ57" s="429"/>
      <c r="BA57" s="332"/>
      <c r="BB57" s="274"/>
      <c r="BC57" s="84"/>
      <c r="BD57" s="39"/>
      <c r="BE57" s="39"/>
      <c r="BF57" s="39"/>
      <c r="BG57" s="340"/>
      <c r="BH57" s="39"/>
      <c r="BI57" s="332"/>
      <c r="BJ57" s="274"/>
      <c r="BK57" s="84"/>
      <c r="BL57" s="39"/>
      <c r="BM57" s="39"/>
      <c r="BN57" s="39"/>
      <c r="BO57" s="340"/>
      <c r="BP57" s="39"/>
      <c r="BQ57" s="332"/>
    </row>
    <row r="58" spans="1:69" x14ac:dyDescent="0.25">
      <c r="A58" s="310" t="s">
        <v>232</v>
      </c>
      <c r="B58" s="419" t="s">
        <v>170</v>
      </c>
      <c r="C58" s="274"/>
      <c r="D58" s="274"/>
      <c r="E58" s="732">
        <v>0</v>
      </c>
      <c r="F58" s="274"/>
      <c r="G58" s="639">
        <v>0</v>
      </c>
      <c r="H58" s="653">
        <v>0</v>
      </c>
      <c r="I58" s="653">
        <v>0</v>
      </c>
      <c r="J58" s="653">
        <v>0</v>
      </c>
      <c r="K58" s="653">
        <v>0</v>
      </c>
      <c r="L58" s="653">
        <v>0</v>
      </c>
      <c r="M58" s="657">
        <v>0</v>
      </c>
      <c r="N58" s="274"/>
      <c r="O58" s="575">
        <v>0</v>
      </c>
      <c r="P58" s="423">
        <v>0</v>
      </c>
      <c r="Q58" s="423">
        <v>0</v>
      </c>
      <c r="R58" s="423">
        <v>0</v>
      </c>
      <c r="S58" s="423">
        <v>0</v>
      </c>
      <c r="T58" s="423">
        <v>0</v>
      </c>
      <c r="U58" s="423">
        <v>0</v>
      </c>
      <c r="V58" s="483"/>
      <c r="W58" s="575">
        <v>0</v>
      </c>
      <c r="X58" s="423">
        <v>0</v>
      </c>
      <c r="Y58" s="423">
        <v>0</v>
      </c>
      <c r="Z58" s="406">
        <f t="shared" ref="Z58:AB58" si="45">AA58-Y58</f>
        <v>0</v>
      </c>
      <c r="AA58" s="445">
        <v>0</v>
      </c>
      <c r="AB58" s="406">
        <f t="shared" si="45"/>
        <v>0</v>
      </c>
      <c r="AC58" s="332">
        <v>0</v>
      </c>
      <c r="AD58" s="483"/>
      <c r="AE58" s="84">
        <v>0</v>
      </c>
      <c r="AF58" s="423"/>
      <c r="AG58" s="423"/>
      <c r="AH58" s="423"/>
      <c r="AI58" s="423"/>
      <c r="AJ58" s="429"/>
      <c r="AK58" s="332">
        <v>0</v>
      </c>
      <c r="AL58" s="274"/>
      <c r="AM58" s="84">
        <v>0</v>
      </c>
      <c r="AN58" s="423">
        <v>0</v>
      </c>
      <c r="AO58" s="423">
        <v>0</v>
      </c>
      <c r="AP58" s="423">
        <v>0</v>
      </c>
      <c r="AQ58" s="423">
        <v>0</v>
      </c>
      <c r="AR58" s="429">
        <v>0</v>
      </c>
      <c r="AS58" s="332">
        <v>0</v>
      </c>
      <c r="AT58" s="274"/>
      <c r="AU58" s="84">
        <v>0</v>
      </c>
      <c r="AV58" s="423">
        <v>0</v>
      </c>
      <c r="AW58" s="429">
        <v>0</v>
      </c>
      <c r="AX58" s="429">
        <v>0</v>
      </c>
      <c r="AY58" s="429">
        <v>0</v>
      </c>
      <c r="AZ58" s="429">
        <v>0</v>
      </c>
      <c r="BA58" s="332">
        <v>0</v>
      </c>
      <c r="BB58" s="274"/>
      <c r="BC58" s="84">
        <v>514</v>
      </c>
      <c r="BD58" s="39">
        <v>952</v>
      </c>
      <c r="BE58" s="39">
        <v>1466</v>
      </c>
      <c r="BF58" s="39">
        <v>312</v>
      </c>
      <c r="BG58" s="340">
        <v>1778</v>
      </c>
      <c r="BH58" s="39">
        <v>222</v>
      </c>
      <c r="BI58" s="332">
        <v>2000</v>
      </c>
      <c r="BJ58" s="274"/>
      <c r="BK58" s="84">
        <v>0</v>
      </c>
      <c r="BL58" s="39">
        <v>0</v>
      </c>
      <c r="BM58" s="39">
        <v>0</v>
      </c>
      <c r="BN58" s="39">
        <v>0</v>
      </c>
      <c r="BO58" s="340">
        <v>0</v>
      </c>
      <c r="BP58" s="39">
        <v>0</v>
      </c>
      <c r="BQ58" s="332">
        <v>0</v>
      </c>
    </row>
    <row r="59" spans="1:69" x14ac:dyDescent="0.25">
      <c r="B59" s="308"/>
      <c r="C59" s="274"/>
      <c r="D59" s="274"/>
      <c r="E59" s="477"/>
      <c r="F59" s="274"/>
      <c r="G59" s="84"/>
      <c r="H59" s="423"/>
      <c r="I59" s="423"/>
      <c r="J59" s="423"/>
      <c r="K59" s="423"/>
      <c r="L59"/>
      <c r="M59" s="40"/>
      <c r="N59" s="274"/>
      <c r="O59" s="84"/>
      <c r="P59" s="423"/>
      <c r="Q59" s="423"/>
      <c r="R59" s="423"/>
      <c r="S59" s="423"/>
      <c r="T59"/>
      <c r="U59" s="40"/>
      <c r="V59" s="483"/>
      <c r="W59" s="84"/>
      <c r="X59" s="423"/>
      <c r="Y59" s="423"/>
      <c r="Z59" s="423"/>
      <c r="AA59" s="423"/>
      <c r="AB59" s="423"/>
      <c r="AC59" s="40"/>
      <c r="AD59" s="483"/>
      <c r="AE59" s="84"/>
      <c r="AF59" s="423"/>
      <c r="AG59" s="423"/>
      <c r="AH59" s="423"/>
      <c r="AI59" s="423"/>
      <c r="AJ59" s="423"/>
      <c r="AK59" s="40"/>
      <c r="AL59" s="274"/>
      <c r="AM59" s="84"/>
      <c r="AN59" s="423"/>
      <c r="AO59" s="423"/>
      <c r="AP59" s="423"/>
      <c r="AQ59" s="423"/>
      <c r="AR59" s="423"/>
      <c r="AS59" s="40"/>
      <c r="AT59" s="274"/>
      <c r="AU59" s="84"/>
      <c r="AV59" s="274"/>
      <c r="AW59" s="274"/>
      <c r="AX59" s="274"/>
      <c r="AY59" s="274"/>
      <c r="AZ59" s="274"/>
      <c r="BA59" s="315"/>
      <c r="BB59" s="274"/>
      <c r="BC59" s="84"/>
      <c r="BD59" s="39"/>
      <c r="BE59" s="39"/>
      <c r="BF59" s="39"/>
      <c r="BG59" s="274"/>
      <c r="BH59" s="274"/>
      <c r="BI59" s="315"/>
      <c r="BJ59" s="274"/>
      <c r="BK59" s="84"/>
      <c r="BL59" s="39"/>
      <c r="BM59" s="39"/>
      <c r="BN59" s="39"/>
      <c r="BO59" s="274"/>
      <c r="BP59" s="274"/>
      <c r="BQ59" s="315"/>
    </row>
    <row r="60" spans="1:69" x14ac:dyDescent="0.25">
      <c r="B60" s="309" t="s">
        <v>67</v>
      </c>
      <c r="C60" s="274"/>
      <c r="D60" s="274"/>
      <c r="E60" s="477"/>
      <c r="F60" s="274"/>
      <c r="G60" s="84"/>
      <c r="H60" s="423"/>
      <c r="I60" s="423"/>
      <c r="J60" s="423"/>
      <c r="K60" s="423"/>
      <c r="L60" s="423"/>
      <c r="M60" s="40"/>
      <c r="N60" s="274"/>
      <c r="O60" s="84"/>
      <c r="P60" s="423"/>
      <c r="Q60" s="423"/>
      <c r="R60" s="423"/>
      <c r="S60" s="423"/>
      <c r="T60" s="423"/>
      <c r="U60" s="40"/>
      <c r="V60" s="483"/>
      <c r="W60" s="84"/>
      <c r="X60" s="423"/>
      <c r="Y60" s="423"/>
      <c r="Z60" s="423"/>
      <c r="AA60" s="423"/>
      <c r="AB60" s="423"/>
      <c r="AC60" s="40"/>
      <c r="AD60" s="483"/>
      <c r="AE60" s="84"/>
      <c r="AF60" s="423"/>
      <c r="AG60" s="423"/>
      <c r="AH60" s="423"/>
      <c r="AI60" s="423"/>
      <c r="AJ60" s="423"/>
      <c r="AK60" s="40"/>
      <c r="AL60" s="274"/>
      <c r="AM60" s="84"/>
      <c r="AN60" s="423"/>
      <c r="AO60" s="423"/>
      <c r="AP60" s="423"/>
      <c r="AQ60" s="423"/>
      <c r="AR60" s="423"/>
      <c r="AS60" s="40"/>
      <c r="AT60" s="274"/>
      <c r="AU60" s="84"/>
      <c r="AV60" s="274"/>
      <c r="AW60" s="274"/>
      <c r="AX60" s="274"/>
      <c r="AY60" s="274"/>
      <c r="AZ60" s="274"/>
      <c r="BA60" s="315"/>
      <c r="BB60" s="274"/>
      <c r="BC60" s="84"/>
      <c r="BD60" s="39"/>
      <c r="BE60" s="39"/>
      <c r="BF60" s="39"/>
      <c r="BG60" s="274"/>
      <c r="BH60" s="274"/>
      <c r="BI60" s="315"/>
      <c r="BJ60" s="274"/>
      <c r="BK60" s="84"/>
      <c r="BL60" s="39"/>
      <c r="BM60" s="39"/>
      <c r="BN60" s="39"/>
      <c r="BO60" s="274"/>
      <c r="BP60" s="274"/>
      <c r="BQ60" s="315"/>
    </row>
    <row r="61" spans="1:69" x14ac:dyDescent="0.25">
      <c r="B61" s="308" t="s">
        <v>68</v>
      </c>
      <c r="C61" s="274"/>
      <c r="D61" s="274"/>
      <c r="E61" s="709"/>
      <c r="F61" s="274"/>
      <c r="G61" s="322"/>
      <c r="H61" s="430"/>
      <c r="I61" s="430"/>
      <c r="J61" s="430"/>
      <c r="K61" s="430"/>
      <c r="L61" s="430"/>
      <c r="M61" s="647">
        <v>0.99299999999999999</v>
      </c>
      <c r="N61" s="274"/>
      <c r="O61" s="322"/>
      <c r="P61" s="430"/>
      <c r="Q61" s="430"/>
      <c r="R61" s="430"/>
      <c r="S61" s="430"/>
      <c r="T61" s="47"/>
      <c r="U61" s="70">
        <v>0.99299999999999999</v>
      </c>
      <c r="V61" s="483"/>
      <c r="W61" s="322"/>
      <c r="X61" s="430"/>
      <c r="Y61" s="430"/>
      <c r="Z61" s="430"/>
      <c r="AA61" s="430"/>
      <c r="AB61" s="47"/>
      <c r="AC61" s="70">
        <v>0.99299999999999999</v>
      </c>
      <c r="AD61" s="483"/>
      <c r="AE61" s="322"/>
      <c r="AF61" s="430"/>
      <c r="AG61" s="430"/>
      <c r="AH61" s="430"/>
      <c r="AI61" s="430"/>
      <c r="AJ61" s="430"/>
      <c r="AK61" s="70">
        <v>0.998</v>
      </c>
      <c r="AL61" s="274"/>
      <c r="AM61" s="322"/>
      <c r="AN61" s="430"/>
      <c r="AO61" s="430"/>
      <c r="AP61" s="430"/>
      <c r="AQ61" s="430"/>
      <c r="AR61" s="47">
        <v>1</v>
      </c>
      <c r="AS61" s="70"/>
      <c r="AT61" s="274"/>
      <c r="AU61" s="322"/>
      <c r="AV61" s="430"/>
      <c r="AW61" s="274"/>
      <c r="AX61" s="274"/>
      <c r="AY61" s="274"/>
      <c r="AZ61" s="47">
        <v>1</v>
      </c>
      <c r="BA61" s="315"/>
      <c r="BB61" s="274"/>
      <c r="BC61" s="322"/>
      <c r="BD61" s="47"/>
      <c r="BE61" s="47"/>
      <c r="BF61" s="47"/>
      <c r="BG61" s="274"/>
      <c r="BH61" s="47">
        <v>1</v>
      </c>
      <c r="BI61" s="315"/>
      <c r="BJ61" s="274"/>
      <c r="BK61" s="322"/>
      <c r="BL61" s="47"/>
      <c r="BM61" s="47"/>
      <c r="BN61" s="47"/>
      <c r="BO61" s="274"/>
      <c r="BP61" s="47">
        <v>1</v>
      </c>
      <c r="BQ61" s="315"/>
    </row>
    <row r="62" spans="1:69" ht="15.75" thickBot="1" x14ac:dyDescent="0.3">
      <c r="B62" s="334" t="s">
        <v>69</v>
      </c>
      <c r="C62" s="274"/>
      <c r="D62" s="274"/>
      <c r="E62" s="710"/>
      <c r="F62" s="274"/>
      <c r="G62" s="323"/>
      <c r="H62" s="58"/>
      <c r="I62" s="58"/>
      <c r="J62" s="58"/>
      <c r="K62" s="58"/>
      <c r="L62" s="58"/>
      <c r="M62" s="648">
        <v>0.90500000000000003</v>
      </c>
      <c r="N62" s="274"/>
      <c r="O62" s="323"/>
      <c r="P62" s="58"/>
      <c r="Q62" s="58"/>
      <c r="R62" s="58"/>
      <c r="S62" s="58"/>
      <c r="T62" s="58"/>
      <c r="U62" s="73">
        <v>0.90200000000000002</v>
      </c>
      <c r="V62" s="483"/>
      <c r="W62" s="323"/>
      <c r="X62" s="58"/>
      <c r="Y62" s="58"/>
      <c r="Z62" s="58"/>
      <c r="AA62" s="58"/>
      <c r="AB62" s="58"/>
      <c r="AC62" s="73">
        <v>0.89800000000000002</v>
      </c>
      <c r="AD62" s="483"/>
      <c r="AE62" s="323"/>
      <c r="AF62" s="58"/>
      <c r="AG62" s="58"/>
      <c r="AH62" s="58"/>
      <c r="AI62" s="58"/>
      <c r="AJ62" s="58"/>
      <c r="AK62" s="73">
        <v>0.88200000000000001</v>
      </c>
      <c r="AL62" s="274"/>
      <c r="AM62" s="323"/>
      <c r="AN62" s="58"/>
      <c r="AO62" s="58"/>
      <c r="AP62" s="58"/>
      <c r="AQ62" s="58"/>
      <c r="AR62" s="58">
        <v>0.91200000000000003</v>
      </c>
      <c r="AS62" s="73"/>
      <c r="AT62" s="274"/>
      <c r="AU62" s="323"/>
      <c r="AV62" s="58"/>
      <c r="AW62" s="320"/>
      <c r="AX62" s="320"/>
      <c r="AY62" s="320"/>
      <c r="AZ62" s="58">
        <v>0.91500000000000004</v>
      </c>
      <c r="BA62" s="312"/>
      <c r="BB62" s="274"/>
      <c r="BC62" s="323"/>
      <c r="BD62" s="58"/>
      <c r="BE62" s="58"/>
      <c r="BF62" s="58"/>
      <c r="BG62" s="320"/>
      <c r="BH62" s="58">
        <v>0.91500000000000004</v>
      </c>
      <c r="BI62" s="312"/>
      <c r="BJ62" s="274"/>
      <c r="BK62" s="323"/>
      <c r="BL62" s="58"/>
      <c r="BM62" s="58"/>
      <c r="BN62" s="58"/>
      <c r="BO62" s="320"/>
      <c r="BP62" s="58">
        <v>0.91500000000000004</v>
      </c>
      <c r="BQ62" s="312"/>
    </row>
    <row r="63" spans="1:69" x14ac:dyDescent="0.25">
      <c r="BK63" s="311"/>
      <c r="BL63" s="311"/>
      <c r="BM63" s="311"/>
      <c r="BN63" s="311"/>
      <c r="BO63" s="311"/>
      <c r="BP63" s="311"/>
      <c r="BQ63" s="311"/>
    </row>
    <row r="64" spans="1:69" hidden="1" outlineLevel="1" x14ac:dyDescent="0.25">
      <c r="B64" s="275" t="s">
        <v>37</v>
      </c>
      <c r="C64" s="95"/>
      <c r="D64" s="95"/>
      <c r="E64" s="276">
        <f t="shared" ref="E64" si="46">E18-E19-E20</f>
        <v>0</v>
      </c>
      <c r="F64" s="95"/>
      <c r="G64" s="276">
        <f t="shared" ref="G64:M64" si="47">G18-G19-G20</f>
        <v>0</v>
      </c>
      <c r="H64" s="276">
        <f t="shared" si="47"/>
        <v>0</v>
      </c>
      <c r="I64" s="276">
        <f t="shared" si="47"/>
        <v>0</v>
      </c>
      <c r="J64" s="276">
        <f t="shared" si="47"/>
        <v>0</v>
      </c>
      <c r="K64" s="276">
        <f t="shared" si="47"/>
        <v>0</v>
      </c>
      <c r="L64" s="276">
        <f t="shared" si="47"/>
        <v>0</v>
      </c>
      <c r="M64" s="276">
        <f t="shared" si="47"/>
        <v>0</v>
      </c>
      <c r="N64" s="95"/>
      <c r="O64" s="276">
        <f t="shared" ref="O64:U64" si="48">O18-O19-O20</f>
        <v>0</v>
      </c>
      <c r="P64" s="276">
        <f t="shared" si="48"/>
        <v>0</v>
      </c>
      <c r="Q64" s="276">
        <f t="shared" si="48"/>
        <v>0</v>
      </c>
      <c r="R64" s="276">
        <f t="shared" si="48"/>
        <v>0</v>
      </c>
      <c r="S64" s="276">
        <f t="shared" si="48"/>
        <v>0</v>
      </c>
      <c r="T64" s="276">
        <f t="shared" si="48"/>
        <v>0</v>
      </c>
      <c r="U64" s="276">
        <f t="shared" si="48"/>
        <v>0</v>
      </c>
      <c r="V64" s="95"/>
      <c r="W64" s="276">
        <f t="shared" ref="W64:AC64" si="49">W18-W19-W20</f>
        <v>0</v>
      </c>
      <c r="X64" s="276">
        <f t="shared" si="49"/>
        <v>0</v>
      </c>
      <c r="Y64" s="276">
        <f t="shared" ref="Y64" si="50">Y18-Y19-Y20</f>
        <v>0</v>
      </c>
      <c r="Z64" s="276">
        <f t="shared" si="49"/>
        <v>0</v>
      </c>
      <c r="AA64" s="276">
        <f t="shared" si="49"/>
        <v>0</v>
      </c>
      <c r="AB64" s="276">
        <f t="shared" si="49"/>
        <v>0</v>
      </c>
      <c r="AC64" s="276">
        <f t="shared" si="49"/>
        <v>0</v>
      </c>
      <c r="AD64" s="95"/>
      <c r="AE64" s="276">
        <f t="shared" ref="AE64:AK64" si="51">AE18-AE19-AE20</f>
        <v>0</v>
      </c>
      <c r="AF64" s="276">
        <f t="shared" si="51"/>
        <v>0</v>
      </c>
      <c r="AG64" s="276">
        <f t="shared" si="51"/>
        <v>0</v>
      </c>
      <c r="AH64" s="276">
        <f t="shared" si="51"/>
        <v>0</v>
      </c>
      <c r="AI64" s="276">
        <f t="shared" si="51"/>
        <v>0</v>
      </c>
      <c r="AJ64" s="276">
        <f t="shared" si="51"/>
        <v>0</v>
      </c>
      <c r="AK64" s="276">
        <f t="shared" si="51"/>
        <v>0</v>
      </c>
      <c r="AL64" s="95"/>
      <c r="AM64" s="276">
        <f t="shared" ref="AM64:AS64" si="52">AM18-AM19-AM20</f>
        <v>0</v>
      </c>
      <c r="AN64" s="276">
        <f t="shared" si="52"/>
        <v>0</v>
      </c>
      <c r="AO64" s="276">
        <f t="shared" si="52"/>
        <v>0</v>
      </c>
      <c r="AP64" s="276">
        <f t="shared" si="52"/>
        <v>0</v>
      </c>
      <c r="AQ64" s="276">
        <f t="shared" si="52"/>
        <v>0</v>
      </c>
      <c r="AR64" s="276">
        <f t="shared" si="52"/>
        <v>0</v>
      </c>
      <c r="AS64" s="276">
        <f t="shared" si="52"/>
        <v>0</v>
      </c>
      <c r="AT64" s="95"/>
      <c r="AU64" s="276">
        <f t="shared" ref="AU64:BA64" si="53">AU18-AU19-AU20</f>
        <v>0</v>
      </c>
      <c r="AV64" s="276">
        <f t="shared" si="53"/>
        <v>0</v>
      </c>
      <c r="AW64" s="276">
        <f t="shared" si="53"/>
        <v>0</v>
      </c>
      <c r="AX64" s="276">
        <f t="shared" si="53"/>
        <v>0</v>
      </c>
      <c r="AY64" s="276">
        <f t="shared" si="53"/>
        <v>0</v>
      </c>
      <c r="AZ64" s="276">
        <f t="shared" si="53"/>
        <v>0</v>
      </c>
      <c r="BA64" s="276">
        <f t="shared" si="53"/>
        <v>0</v>
      </c>
      <c r="BB64" s="95"/>
      <c r="BC64" s="276">
        <f t="shared" ref="BC64:BI64" si="54">BC18-BC19-BC20</f>
        <v>0</v>
      </c>
      <c r="BD64" s="276">
        <f t="shared" si="54"/>
        <v>0</v>
      </c>
      <c r="BE64" s="276">
        <f t="shared" si="54"/>
        <v>0</v>
      </c>
      <c r="BF64" s="276">
        <f t="shared" si="54"/>
        <v>0</v>
      </c>
      <c r="BG64" s="276">
        <f t="shared" si="54"/>
        <v>0</v>
      </c>
      <c r="BH64" s="276">
        <f t="shared" si="54"/>
        <v>0</v>
      </c>
      <c r="BI64" s="276">
        <f t="shared" si="54"/>
        <v>0</v>
      </c>
      <c r="BJ64" s="95"/>
      <c r="BK64" s="276">
        <f t="shared" ref="BK64:BQ64" si="55">BK18-BK19-BK20</f>
        <v>0</v>
      </c>
      <c r="BL64" s="276">
        <f t="shared" si="55"/>
        <v>0</v>
      </c>
      <c r="BM64" s="276">
        <f t="shared" si="55"/>
        <v>0</v>
      </c>
      <c r="BN64" s="276">
        <f t="shared" si="55"/>
        <v>0</v>
      </c>
      <c r="BO64" s="276">
        <f t="shared" si="55"/>
        <v>0</v>
      </c>
      <c r="BP64" s="276">
        <f t="shared" si="55"/>
        <v>0</v>
      </c>
      <c r="BQ64" s="276">
        <f t="shared" si="55"/>
        <v>0</v>
      </c>
    </row>
    <row r="65" spans="1:69" hidden="1" outlineLevel="1" x14ac:dyDescent="0.25">
      <c r="B65" s="277" t="s">
        <v>38</v>
      </c>
      <c r="C65" s="95"/>
      <c r="D65" s="95"/>
      <c r="E65" s="276">
        <f t="shared" ref="E65" si="56">E20-SUM(E21:E24)-E25</f>
        <v>0</v>
      </c>
      <c r="F65" s="95"/>
      <c r="G65" s="276">
        <f t="shared" ref="G65:M65" si="57">G20-SUM(G21:G24)-G25</f>
        <v>0</v>
      </c>
      <c r="H65" s="276">
        <f t="shared" si="57"/>
        <v>0</v>
      </c>
      <c r="I65" s="276">
        <f t="shared" si="57"/>
        <v>0</v>
      </c>
      <c r="J65" s="276">
        <f t="shared" si="57"/>
        <v>0</v>
      </c>
      <c r="K65" s="276">
        <f t="shared" si="57"/>
        <v>0</v>
      </c>
      <c r="L65" s="276">
        <f t="shared" si="57"/>
        <v>0</v>
      </c>
      <c r="M65" s="276">
        <f t="shared" si="57"/>
        <v>0</v>
      </c>
      <c r="N65" s="95"/>
      <c r="O65" s="276">
        <f t="shared" ref="O65:P65" si="58">O20-SUM(O21:O24)-O25</f>
        <v>0</v>
      </c>
      <c r="P65" s="276">
        <f t="shared" si="58"/>
        <v>0</v>
      </c>
      <c r="Q65" s="276">
        <f t="shared" ref="Q65" si="59">Q20-SUM(Q21:Q24)-Q25</f>
        <v>0</v>
      </c>
      <c r="R65" s="276">
        <f t="shared" ref="R65:U65" si="60">R20-SUM(R21:R24)-R25</f>
        <v>0</v>
      </c>
      <c r="S65" s="276">
        <f t="shared" si="60"/>
        <v>0</v>
      </c>
      <c r="T65" s="276">
        <f t="shared" si="60"/>
        <v>0</v>
      </c>
      <c r="U65" s="276">
        <f t="shared" si="60"/>
        <v>0</v>
      </c>
      <c r="V65" s="95"/>
      <c r="W65" s="276">
        <f t="shared" ref="W65:AC65" si="61">W20-SUM(W21:W24)-W25</f>
        <v>0</v>
      </c>
      <c r="X65" s="276">
        <f t="shared" si="61"/>
        <v>0</v>
      </c>
      <c r="Y65" s="276">
        <f t="shared" ref="Y65" si="62">Y20-SUM(Y21:Y24)-Y25</f>
        <v>0</v>
      </c>
      <c r="Z65" s="276">
        <f t="shared" si="61"/>
        <v>0</v>
      </c>
      <c r="AA65" s="276">
        <f t="shared" si="61"/>
        <v>0</v>
      </c>
      <c r="AB65" s="276">
        <f t="shared" si="61"/>
        <v>0</v>
      </c>
      <c r="AC65" s="276">
        <f t="shared" si="61"/>
        <v>0</v>
      </c>
      <c r="AD65" s="95"/>
      <c r="AE65" s="276">
        <f t="shared" ref="AE65:AK65" si="63">AE20-SUM(AE21:AE24)-AE25</f>
        <v>0</v>
      </c>
      <c r="AF65" s="276">
        <f t="shared" si="63"/>
        <v>0</v>
      </c>
      <c r="AG65" s="276">
        <f t="shared" si="63"/>
        <v>0</v>
      </c>
      <c r="AH65" s="276">
        <f t="shared" si="63"/>
        <v>0</v>
      </c>
      <c r="AI65" s="276">
        <f t="shared" si="63"/>
        <v>0</v>
      </c>
      <c r="AJ65" s="276">
        <f t="shared" si="63"/>
        <v>0</v>
      </c>
      <c r="AK65" s="276">
        <f t="shared" si="63"/>
        <v>0</v>
      </c>
      <c r="AL65" s="95"/>
      <c r="AM65" s="276">
        <f t="shared" ref="AM65:AS65" si="64">AM20-SUM(AM21:AM24)-AM25</f>
        <v>0</v>
      </c>
      <c r="AN65" s="276">
        <f t="shared" si="64"/>
        <v>0</v>
      </c>
      <c r="AO65" s="276">
        <f t="shared" si="64"/>
        <v>0</v>
      </c>
      <c r="AP65" s="276">
        <f t="shared" si="64"/>
        <v>0</v>
      </c>
      <c r="AQ65" s="276">
        <f t="shared" si="64"/>
        <v>0</v>
      </c>
      <c r="AR65" s="276">
        <f t="shared" si="64"/>
        <v>0</v>
      </c>
      <c r="AS65" s="276">
        <f t="shared" si="64"/>
        <v>0</v>
      </c>
      <c r="AT65" s="95"/>
      <c r="AU65" s="276">
        <f t="shared" ref="AU65:BA65" si="65">AU20-SUM(AU21:AU24)-AU25</f>
        <v>0</v>
      </c>
      <c r="AV65" s="276">
        <f t="shared" si="65"/>
        <v>0</v>
      </c>
      <c r="AW65" s="276">
        <f t="shared" si="65"/>
        <v>0</v>
      </c>
      <c r="AX65" s="276">
        <f t="shared" si="65"/>
        <v>0</v>
      </c>
      <c r="AY65" s="276">
        <f t="shared" si="65"/>
        <v>0</v>
      </c>
      <c r="AZ65" s="276">
        <f t="shared" si="65"/>
        <v>0</v>
      </c>
      <c r="BA65" s="276">
        <f t="shared" si="65"/>
        <v>0</v>
      </c>
      <c r="BB65" s="95"/>
      <c r="BC65" s="276">
        <f t="shared" ref="BC65:BI65" si="66">BC20-SUM(BC21:BC24)-BC25</f>
        <v>0</v>
      </c>
      <c r="BD65" s="276">
        <f t="shared" si="66"/>
        <v>0</v>
      </c>
      <c r="BE65" s="276">
        <f t="shared" si="66"/>
        <v>0</v>
      </c>
      <c r="BF65" s="276">
        <f t="shared" si="66"/>
        <v>0</v>
      </c>
      <c r="BG65" s="276">
        <f t="shared" si="66"/>
        <v>0</v>
      </c>
      <c r="BH65" s="276">
        <f t="shared" si="66"/>
        <v>0</v>
      </c>
      <c r="BI65" s="276">
        <f t="shared" si="66"/>
        <v>0</v>
      </c>
      <c r="BJ65" s="95"/>
      <c r="BK65" s="276">
        <f t="shared" ref="BK65:BQ65" si="67">BK20-SUM(BK21:BK24)-BK25</f>
        <v>0</v>
      </c>
      <c r="BL65" s="276">
        <f t="shared" si="67"/>
        <v>0</v>
      </c>
      <c r="BM65" s="276">
        <f t="shared" si="67"/>
        <v>0</v>
      </c>
      <c r="BN65" s="276">
        <f t="shared" si="67"/>
        <v>0</v>
      </c>
      <c r="BO65" s="276">
        <f t="shared" si="67"/>
        <v>0</v>
      </c>
      <c r="BP65" s="276">
        <f t="shared" si="67"/>
        <v>0</v>
      </c>
      <c r="BQ65" s="276">
        <f t="shared" si="67"/>
        <v>0</v>
      </c>
    </row>
    <row r="66" spans="1:69" hidden="1" outlineLevel="1" x14ac:dyDescent="0.25">
      <c r="B66" s="277" t="s">
        <v>24</v>
      </c>
      <c r="C66" s="95"/>
      <c r="D66" s="95"/>
      <c r="E66" s="276">
        <f t="shared" ref="E66" si="68">E25-SUM(E26:E29)-E30</f>
        <v>0</v>
      </c>
      <c r="F66" s="95"/>
      <c r="G66" s="276">
        <f t="shared" ref="G66:H66" si="69">G25-SUM(G26:G29)-G30</f>
        <v>0</v>
      </c>
      <c r="H66" s="276">
        <f t="shared" si="69"/>
        <v>0</v>
      </c>
      <c r="I66" s="276">
        <f>I25-SUM(I26:I29)-I30</f>
        <v>0</v>
      </c>
      <c r="J66" s="276">
        <f t="shared" ref="J66:M66" si="70">J25-SUM(J26:J29)-J30</f>
        <v>0</v>
      </c>
      <c r="K66" s="276">
        <f t="shared" si="70"/>
        <v>0</v>
      </c>
      <c r="L66" s="276">
        <f t="shared" si="70"/>
        <v>0</v>
      </c>
      <c r="M66" s="276">
        <f t="shared" si="70"/>
        <v>0</v>
      </c>
      <c r="N66" s="95"/>
      <c r="O66" s="276">
        <f t="shared" ref="O66:P66" si="71">O25-SUM(O26:O29)-O30</f>
        <v>0</v>
      </c>
      <c r="P66" s="276">
        <f t="shared" si="71"/>
        <v>0</v>
      </c>
      <c r="Q66" s="276">
        <f>Q25-SUM(Q26:Q29)-Q30</f>
        <v>0</v>
      </c>
      <c r="R66" s="276">
        <f t="shared" ref="R66:U66" si="72">R25-SUM(R26:R29)-R30</f>
        <v>0</v>
      </c>
      <c r="S66" s="276">
        <f t="shared" si="72"/>
        <v>0</v>
      </c>
      <c r="T66" s="276">
        <f t="shared" si="72"/>
        <v>0</v>
      </c>
      <c r="U66" s="276">
        <f t="shared" si="72"/>
        <v>0</v>
      </c>
      <c r="V66" s="95"/>
      <c r="W66" s="276">
        <f t="shared" ref="W66:AC66" si="73">W25-SUM(W26:W29)-W30</f>
        <v>0</v>
      </c>
      <c r="X66" s="276">
        <f t="shared" si="73"/>
        <v>0</v>
      </c>
      <c r="Y66" s="276">
        <f>Y25-SUM(Y26:Y29)-Y30</f>
        <v>0</v>
      </c>
      <c r="Z66" s="276">
        <f t="shared" si="73"/>
        <v>0</v>
      </c>
      <c r="AA66" s="276">
        <f t="shared" si="73"/>
        <v>0</v>
      </c>
      <c r="AB66" s="276">
        <f t="shared" si="73"/>
        <v>0</v>
      </c>
      <c r="AC66" s="276">
        <f t="shared" si="73"/>
        <v>0</v>
      </c>
      <c r="AD66" s="95"/>
      <c r="AE66" s="276">
        <f t="shared" ref="AE66:AK66" si="74">AE25-SUM(AE26:AE29)-AE30</f>
        <v>0</v>
      </c>
      <c r="AF66" s="276">
        <f t="shared" si="74"/>
        <v>-0.10354000000006636</v>
      </c>
      <c r="AG66" s="276">
        <f t="shared" si="74"/>
        <v>-0.10354000000006636</v>
      </c>
      <c r="AH66" s="276">
        <f t="shared" si="74"/>
        <v>0.10354000000006636</v>
      </c>
      <c r="AI66" s="276">
        <f t="shared" si="74"/>
        <v>0</v>
      </c>
      <c r="AJ66" s="276">
        <f t="shared" si="74"/>
        <v>0</v>
      </c>
      <c r="AK66" s="276">
        <f t="shared" si="74"/>
        <v>0</v>
      </c>
      <c r="AL66" s="95"/>
      <c r="AM66" s="276">
        <f t="shared" ref="AM66:AS66" si="75">AM25-SUM(AM26:AM29)-AM30</f>
        <v>0</v>
      </c>
      <c r="AN66" s="276">
        <f t="shared" si="75"/>
        <v>0</v>
      </c>
      <c r="AO66" s="276">
        <f t="shared" si="75"/>
        <v>0</v>
      </c>
      <c r="AP66" s="276">
        <f t="shared" si="75"/>
        <v>0</v>
      </c>
      <c r="AQ66" s="276">
        <f t="shared" si="75"/>
        <v>0</v>
      </c>
      <c r="AR66" s="276">
        <f t="shared" si="75"/>
        <v>0</v>
      </c>
      <c r="AS66" s="276">
        <f t="shared" si="75"/>
        <v>0</v>
      </c>
      <c r="AT66" s="95"/>
      <c r="AU66" s="276">
        <f t="shared" ref="AU66:BA66" si="76">AU25-SUM(AU26:AU29)-AU30</f>
        <v>0</v>
      </c>
      <c r="AV66" s="276">
        <f t="shared" si="76"/>
        <v>0</v>
      </c>
      <c r="AW66" s="276">
        <f t="shared" si="76"/>
        <v>0</v>
      </c>
      <c r="AX66" s="276">
        <f t="shared" si="76"/>
        <v>0</v>
      </c>
      <c r="AY66" s="276">
        <f t="shared" si="76"/>
        <v>0</v>
      </c>
      <c r="AZ66" s="276">
        <f t="shared" si="76"/>
        <v>0</v>
      </c>
      <c r="BA66" s="276">
        <f t="shared" si="76"/>
        <v>0</v>
      </c>
      <c r="BB66" s="95"/>
      <c r="BC66" s="276">
        <f t="shared" ref="BC66:BI66" si="77">BC25-SUM(BC26:BC29)-BC30</f>
        <v>0</v>
      </c>
      <c r="BD66" s="276">
        <f t="shared" si="77"/>
        <v>0</v>
      </c>
      <c r="BE66" s="276">
        <f t="shared" si="77"/>
        <v>0</v>
      </c>
      <c r="BF66" s="276">
        <f t="shared" si="77"/>
        <v>0</v>
      </c>
      <c r="BG66" s="276">
        <f t="shared" si="77"/>
        <v>0</v>
      </c>
      <c r="BH66" s="276">
        <f t="shared" si="77"/>
        <v>0</v>
      </c>
      <c r="BI66" s="276">
        <f t="shared" si="77"/>
        <v>0</v>
      </c>
      <c r="BJ66" s="95"/>
      <c r="BK66" s="276">
        <f t="shared" ref="BK66:BQ66" si="78">BK25-SUM(BK26:BK29)-BK30</f>
        <v>0</v>
      </c>
      <c r="BL66" s="276">
        <f t="shared" si="78"/>
        <v>0</v>
      </c>
      <c r="BM66" s="276">
        <f t="shared" si="78"/>
        <v>0</v>
      </c>
      <c r="BN66" s="276">
        <f t="shared" si="78"/>
        <v>0</v>
      </c>
      <c r="BO66" s="276">
        <f t="shared" si="78"/>
        <v>0</v>
      </c>
      <c r="BP66" s="276">
        <f t="shared" si="78"/>
        <v>0</v>
      </c>
      <c r="BQ66" s="276">
        <f t="shared" si="78"/>
        <v>0</v>
      </c>
    </row>
    <row r="67" spans="1:69" hidden="1" outlineLevel="1" x14ac:dyDescent="0.25">
      <c r="B67" s="277" t="s">
        <v>57</v>
      </c>
      <c r="C67" s="95"/>
      <c r="D67" s="95"/>
      <c r="E67" s="276">
        <f t="shared" ref="E67" si="79">SUM(E30:E36)-E37</f>
        <v>0</v>
      </c>
      <c r="F67" s="95"/>
      <c r="G67" s="276">
        <f t="shared" ref="G67:H67" si="80">SUM(G30:G36)-G37</f>
        <v>0</v>
      </c>
      <c r="H67" s="276">
        <f t="shared" si="80"/>
        <v>0</v>
      </c>
      <c r="I67" s="276">
        <f t="shared" ref="I67" si="81">SUM(I30:I36)-I37</f>
        <v>0</v>
      </c>
      <c r="J67" s="276">
        <f t="shared" ref="J67:M67" si="82">SUM(J30:J36)-J37</f>
        <v>0</v>
      </c>
      <c r="K67" s="276">
        <f t="shared" si="82"/>
        <v>0</v>
      </c>
      <c r="L67" s="276">
        <f t="shared" si="82"/>
        <v>0</v>
      </c>
      <c r="M67" s="276">
        <f t="shared" si="82"/>
        <v>0</v>
      </c>
      <c r="N67" s="95"/>
      <c r="O67" s="276">
        <f t="shared" ref="O67:P67" si="83">SUM(O30:O36)-O37</f>
        <v>0</v>
      </c>
      <c r="P67" s="276">
        <f t="shared" si="83"/>
        <v>0</v>
      </c>
      <c r="Q67" s="276">
        <f t="shared" ref="Q67" si="84">SUM(Q30:Q36)-Q37</f>
        <v>0</v>
      </c>
      <c r="R67" s="276">
        <f t="shared" ref="R67:U67" si="85">SUM(R30:R36)-R37</f>
        <v>0</v>
      </c>
      <c r="S67" s="276">
        <f t="shared" si="85"/>
        <v>0</v>
      </c>
      <c r="T67" s="276">
        <f t="shared" si="85"/>
        <v>0</v>
      </c>
      <c r="U67" s="276">
        <f t="shared" si="85"/>
        <v>0</v>
      </c>
      <c r="V67" s="95"/>
      <c r="W67" s="276">
        <f t="shared" ref="W67:AC67" si="86">SUM(W30:W36)-W37</f>
        <v>0</v>
      </c>
      <c r="X67" s="276">
        <f t="shared" si="86"/>
        <v>0</v>
      </c>
      <c r="Y67" s="276">
        <f t="shared" ref="Y67" si="87">SUM(Y30:Y36)-Y37</f>
        <v>0</v>
      </c>
      <c r="Z67" s="276">
        <f t="shared" si="86"/>
        <v>0</v>
      </c>
      <c r="AA67" s="276">
        <f t="shared" si="86"/>
        <v>0</v>
      </c>
      <c r="AB67" s="276">
        <f t="shared" si="86"/>
        <v>-0.36600000000726141</v>
      </c>
      <c r="AC67" s="276">
        <f t="shared" si="86"/>
        <v>-0.3660000000090804</v>
      </c>
      <c r="AD67" s="95"/>
      <c r="AE67" s="276">
        <f t="shared" ref="AE67:AK67" si="88">SUM(AE30:AE36)-AE37</f>
        <v>0</v>
      </c>
      <c r="AF67" s="276">
        <f t="shared" si="88"/>
        <v>0</v>
      </c>
      <c r="AG67" s="276">
        <f t="shared" si="88"/>
        <v>0</v>
      </c>
      <c r="AH67" s="276">
        <f t="shared" si="88"/>
        <v>0</v>
      </c>
      <c r="AI67" s="276">
        <f t="shared" si="88"/>
        <v>0</v>
      </c>
      <c r="AJ67" s="276">
        <f t="shared" si="88"/>
        <v>0</v>
      </c>
      <c r="AK67" s="276">
        <f t="shared" si="88"/>
        <v>0</v>
      </c>
      <c r="AL67" s="95"/>
      <c r="AM67" s="276">
        <f t="shared" ref="AM67:AS67" si="89">SUM(AM30:AM36)-AM37</f>
        <v>0</v>
      </c>
      <c r="AN67" s="276">
        <f t="shared" si="89"/>
        <v>0</v>
      </c>
      <c r="AO67" s="276">
        <f t="shared" si="89"/>
        <v>0</v>
      </c>
      <c r="AP67" s="276">
        <f t="shared" si="89"/>
        <v>0</v>
      </c>
      <c r="AQ67" s="276">
        <f t="shared" si="89"/>
        <v>0</v>
      </c>
      <c r="AR67" s="276">
        <f t="shared" si="89"/>
        <v>0</v>
      </c>
      <c r="AS67" s="276">
        <f t="shared" si="89"/>
        <v>0</v>
      </c>
      <c r="AT67" s="95"/>
      <c r="AU67" s="276">
        <f t="shared" ref="AU67:BA67" si="90">SUM(AU30:AU36)-AU37</f>
        <v>0</v>
      </c>
      <c r="AV67" s="276">
        <f t="shared" si="90"/>
        <v>0</v>
      </c>
      <c r="AW67" s="276">
        <f t="shared" si="90"/>
        <v>0</v>
      </c>
      <c r="AX67" s="276">
        <f t="shared" si="90"/>
        <v>0</v>
      </c>
      <c r="AY67" s="276">
        <f t="shared" si="90"/>
        <v>0</v>
      </c>
      <c r="AZ67" s="276">
        <f t="shared" si="90"/>
        <v>0</v>
      </c>
      <c r="BA67" s="276">
        <f t="shared" si="90"/>
        <v>0</v>
      </c>
      <c r="BB67" s="95"/>
      <c r="BC67" s="276">
        <f t="shared" ref="BC67:BI67" si="91">SUM(BC30:BC36)-BC37</f>
        <v>0</v>
      </c>
      <c r="BD67" s="276">
        <f t="shared" si="91"/>
        <v>0</v>
      </c>
      <c r="BE67" s="276">
        <f t="shared" si="91"/>
        <v>0</v>
      </c>
      <c r="BF67" s="276">
        <f t="shared" si="91"/>
        <v>0</v>
      </c>
      <c r="BG67" s="276">
        <f t="shared" si="91"/>
        <v>0</v>
      </c>
      <c r="BH67" s="276">
        <f t="shared" si="91"/>
        <v>0</v>
      </c>
      <c r="BI67" s="276">
        <f t="shared" si="91"/>
        <v>0</v>
      </c>
      <c r="BJ67" s="95"/>
      <c r="BK67" s="276">
        <f t="shared" ref="BK67:BQ67" si="92">SUM(BK30:BK36)-BK37</f>
        <v>0</v>
      </c>
      <c r="BL67" s="276">
        <f t="shared" si="92"/>
        <v>0</v>
      </c>
      <c r="BM67" s="276">
        <f t="shared" si="92"/>
        <v>0</v>
      </c>
      <c r="BN67" s="276">
        <f t="shared" si="92"/>
        <v>0</v>
      </c>
      <c r="BO67" s="276">
        <f t="shared" si="92"/>
        <v>0</v>
      </c>
      <c r="BP67" s="276">
        <f t="shared" si="92"/>
        <v>0</v>
      </c>
      <c r="BQ67" s="276">
        <f t="shared" si="92"/>
        <v>0</v>
      </c>
    </row>
    <row r="68" spans="1:69" hidden="1" outlineLevel="1" x14ac:dyDescent="0.25">
      <c r="B68" s="277" t="s">
        <v>147</v>
      </c>
      <c r="C68" s="95"/>
      <c r="D68" s="95"/>
      <c r="E68" s="276">
        <f t="shared" ref="E68" si="93">SUM(E37:E44)-E45</f>
        <v>0</v>
      </c>
      <c r="F68" s="95"/>
      <c r="G68" s="276">
        <f t="shared" ref="G68:M68" si="94">SUM(G37:G44)-G45</f>
        <v>0</v>
      </c>
      <c r="H68" s="276">
        <f t="shared" si="94"/>
        <v>0</v>
      </c>
      <c r="I68" s="276">
        <f t="shared" si="94"/>
        <v>0</v>
      </c>
      <c r="J68" s="276">
        <f t="shared" si="94"/>
        <v>0</v>
      </c>
      <c r="K68" s="276">
        <f t="shared" si="94"/>
        <v>0</v>
      </c>
      <c r="L68" s="276">
        <f t="shared" si="94"/>
        <v>0</v>
      </c>
      <c r="M68" s="276">
        <f t="shared" si="94"/>
        <v>0</v>
      </c>
      <c r="N68" s="95"/>
      <c r="O68" s="276">
        <f t="shared" ref="O68:U68" si="95">SUM(O37:O44)-O45</f>
        <v>0</v>
      </c>
      <c r="P68" s="276">
        <f t="shared" si="95"/>
        <v>0</v>
      </c>
      <c r="Q68" s="276">
        <f t="shared" si="95"/>
        <v>0</v>
      </c>
      <c r="R68" s="276">
        <f t="shared" si="95"/>
        <v>0</v>
      </c>
      <c r="S68" s="276">
        <f t="shared" si="95"/>
        <v>0</v>
      </c>
      <c r="T68" s="276">
        <f t="shared" si="95"/>
        <v>0</v>
      </c>
      <c r="U68" s="276">
        <f t="shared" si="95"/>
        <v>0</v>
      </c>
      <c r="V68" s="95"/>
      <c r="W68" s="276">
        <f t="shared" ref="W68:AC68" si="96">SUM(W37:W44)-W45</f>
        <v>0</v>
      </c>
      <c r="X68" s="276">
        <f t="shared" si="96"/>
        <v>0</v>
      </c>
      <c r="Y68" s="276">
        <f t="shared" ref="Y68" si="97">SUM(Y37:Y44)-Y45</f>
        <v>0</v>
      </c>
      <c r="Z68" s="276">
        <f t="shared" si="96"/>
        <v>0</v>
      </c>
      <c r="AA68" s="276">
        <f t="shared" si="96"/>
        <v>0</v>
      </c>
      <c r="AB68" s="276">
        <f t="shared" si="96"/>
        <v>0</v>
      </c>
      <c r="AC68" s="276">
        <f t="shared" si="96"/>
        <v>0</v>
      </c>
      <c r="AD68" s="95"/>
      <c r="AE68" s="276">
        <f t="shared" ref="AE68:AK68" si="98">SUM(AE37:AE44)-AE45</f>
        <v>0</v>
      </c>
      <c r="AF68" s="276">
        <f t="shared" si="98"/>
        <v>0</v>
      </c>
      <c r="AG68" s="276">
        <f t="shared" si="98"/>
        <v>0</v>
      </c>
      <c r="AH68" s="276">
        <f t="shared" si="98"/>
        <v>0</v>
      </c>
      <c r="AI68" s="276">
        <f t="shared" si="98"/>
        <v>0</v>
      </c>
      <c r="AJ68" s="276">
        <f t="shared" si="98"/>
        <v>0</v>
      </c>
      <c r="AK68" s="276">
        <f t="shared" si="98"/>
        <v>0</v>
      </c>
      <c r="AL68" s="95"/>
      <c r="AM68" s="276">
        <f t="shared" ref="AM68:AS68" si="99">SUM(AM37:AM44)-AM45</f>
        <v>0</v>
      </c>
      <c r="AN68" s="276">
        <f t="shared" si="99"/>
        <v>0</v>
      </c>
      <c r="AO68" s="276">
        <f t="shared" si="99"/>
        <v>0</v>
      </c>
      <c r="AP68" s="276">
        <f t="shared" si="99"/>
        <v>0</v>
      </c>
      <c r="AQ68" s="276">
        <f t="shared" si="99"/>
        <v>0</v>
      </c>
      <c r="AR68" s="276">
        <f t="shared" si="99"/>
        <v>0</v>
      </c>
      <c r="AS68" s="276">
        <f t="shared" si="99"/>
        <v>0</v>
      </c>
      <c r="AT68" s="95"/>
      <c r="AU68" s="276">
        <f t="shared" ref="AU68:BA68" si="100">SUM(AU37:AU44)-AU45</f>
        <v>0</v>
      </c>
      <c r="AV68" s="276">
        <f t="shared" si="100"/>
        <v>0</v>
      </c>
      <c r="AW68" s="276">
        <f t="shared" si="100"/>
        <v>0</v>
      </c>
      <c r="AX68" s="276">
        <f t="shared" si="100"/>
        <v>0</v>
      </c>
      <c r="AY68" s="276">
        <f t="shared" si="100"/>
        <v>0</v>
      </c>
      <c r="AZ68" s="276">
        <f t="shared" si="100"/>
        <v>0</v>
      </c>
      <c r="BA68" s="276">
        <f t="shared" si="100"/>
        <v>0</v>
      </c>
      <c r="BB68" s="95"/>
      <c r="BC68" s="276">
        <f t="shared" ref="BC68:BI68" si="101">SUM(BC37:BC44)-BC45</f>
        <v>0</v>
      </c>
      <c r="BD68" s="276">
        <f t="shared" si="101"/>
        <v>0</v>
      </c>
      <c r="BE68" s="276">
        <f t="shared" si="101"/>
        <v>0</v>
      </c>
      <c r="BF68" s="276">
        <f t="shared" si="101"/>
        <v>0</v>
      </c>
      <c r="BG68" s="276">
        <f t="shared" si="101"/>
        <v>0</v>
      </c>
      <c r="BH68" s="276">
        <f t="shared" si="101"/>
        <v>0</v>
      </c>
      <c r="BI68" s="276">
        <f t="shared" si="101"/>
        <v>0</v>
      </c>
      <c r="BJ68" s="95"/>
      <c r="BK68" s="276">
        <f t="shared" ref="BK68:BQ68" si="102">SUM(BK37:BK44)-BK45</f>
        <v>0</v>
      </c>
      <c r="BL68" s="276">
        <f t="shared" si="102"/>
        <v>0</v>
      </c>
      <c r="BM68" s="276">
        <f t="shared" si="102"/>
        <v>0</v>
      </c>
      <c r="BN68" s="276">
        <f t="shared" si="102"/>
        <v>0</v>
      </c>
      <c r="BO68" s="276">
        <f t="shared" si="102"/>
        <v>0</v>
      </c>
      <c r="BP68" s="276">
        <f t="shared" si="102"/>
        <v>0</v>
      </c>
      <c r="BQ68" s="276">
        <f t="shared" si="102"/>
        <v>0</v>
      </c>
    </row>
    <row r="69" spans="1:69" hidden="1" outlineLevel="1" x14ac:dyDescent="0.25">
      <c r="B69" s="277" t="s">
        <v>39</v>
      </c>
      <c r="C69" s="95"/>
      <c r="D69" s="95"/>
      <c r="E69" s="276">
        <f t="shared" ref="E69" si="103">SUM(E50:E51)-E52</f>
        <v>0</v>
      </c>
      <c r="F69" s="95"/>
      <c r="G69" s="276">
        <f t="shared" ref="G69:M69" si="104">SUM(G50:G51)-G52</f>
        <v>0</v>
      </c>
      <c r="H69" s="276">
        <f t="shared" si="104"/>
        <v>0</v>
      </c>
      <c r="I69" s="276">
        <f t="shared" si="104"/>
        <v>0</v>
      </c>
      <c r="J69" s="276">
        <f t="shared" si="104"/>
        <v>0</v>
      </c>
      <c r="K69" s="276">
        <f t="shared" si="104"/>
        <v>0</v>
      </c>
      <c r="L69" s="276">
        <f t="shared" si="104"/>
        <v>0</v>
      </c>
      <c r="M69" s="276">
        <f t="shared" si="104"/>
        <v>0</v>
      </c>
      <c r="N69" s="95"/>
      <c r="O69" s="276">
        <f t="shared" ref="O69:U69" si="105">SUM(O50:O51)-O52</f>
        <v>0</v>
      </c>
      <c r="P69" s="276">
        <f t="shared" si="105"/>
        <v>0</v>
      </c>
      <c r="Q69" s="276">
        <f t="shared" si="105"/>
        <v>0</v>
      </c>
      <c r="R69" s="276">
        <f t="shared" si="105"/>
        <v>0</v>
      </c>
      <c r="S69" s="276">
        <f t="shared" si="105"/>
        <v>0</v>
      </c>
      <c r="T69" s="276">
        <f t="shared" si="105"/>
        <v>0</v>
      </c>
      <c r="U69" s="276">
        <f t="shared" si="105"/>
        <v>0</v>
      </c>
      <c r="V69" s="95"/>
      <c r="W69" s="276">
        <f t="shared" ref="W69:AC69" si="106">SUM(W50:W51)-W52</f>
        <v>0</v>
      </c>
      <c r="X69" s="276">
        <f t="shared" si="106"/>
        <v>0</v>
      </c>
      <c r="Y69" s="276">
        <f t="shared" ref="Y69" si="107">SUM(Y50:Y51)-Y52</f>
        <v>0</v>
      </c>
      <c r="Z69" s="276">
        <f t="shared" si="106"/>
        <v>0</v>
      </c>
      <c r="AA69" s="276">
        <f t="shared" si="106"/>
        <v>0</v>
      </c>
      <c r="AB69" s="276">
        <f t="shared" si="106"/>
        <v>0</v>
      </c>
      <c r="AC69" s="276">
        <f t="shared" si="106"/>
        <v>0</v>
      </c>
      <c r="AD69" s="95"/>
      <c r="AE69" s="276">
        <f t="shared" ref="AE69:AK69" si="108">SUM(AE50:AE51)-AE52</f>
        <v>0</v>
      </c>
      <c r="AF69" s="276">
        <f t="shared" si="108"/>
        <v>0</v>
      </c>
      <c r="AG69" s="276">
        <f t="shared" si="108"/>
        <v>0</v>
      </c>
      <c r="AH69" s="276">
        <f t="shared" si="108"/>
        <v>0</v>
      </c>
      <c r="AI69" s="276">
        <f t="shared" si="108"/>
        <v>0</v>
      </c>
      <c r="AJ69" s="276">
        <f t="shared" si="108"/>
        <v>0</v>
      </c>
      <c r="AK69" s="276">
        <f t="shared" si="108"/>
        <v>0</v>
      </c>
      <c r="AL69" s="95"/>
      <c r="AM69" s="276">
        <f>SUM(AM50:AM51)-AM52</f>
        <v>0</v>
      </c>
      <c r="AN69" s="276">
        <f t="shared" ref="AN69:AS69" si="109">SUM(AN50:AN51)-AN52</f>
        <v>0</v>
      </c>
      <c r="AO69" s="276">
        <f t="shared" si="109"/>
        <v>0</v>
      </c>
      <c r="AP69" s="276">
        <f t="shared" si="109"/>
        <v>0</v>
      </c>
      <c r="AQ69" s="276">
        <f t="shared" si="109"/>
        <v>0</v>
      </c>
      <c r="AR69" s="276">
        <f t="shared" si="109"/>
        <v>0</v>
      </c>
      <c r="AS69" s="276">
        <f t="shared" si="109"/>
        <v>0</v>
      </c>
      <c r="AT69" s="95"/>
      <c r="AU69" s="276">
        <f>SUM(AU50:AU51)-AU52</f>
        <v>0</v>
      </c>
      <c r="AV69" s="276">
        <f t="shared" ref="AV69:BA69" si="110">SUM(AV50:AV51)-AV52</f>
        <v>0</v>
      </c>
      <c r="AW69" s="276">
        <f t="shared" si="110"/>
        <v>0</v>
      </c>
      <c r="AX69" s="276">
        <f t="shared" si="110"/>
        <v>0</v>
      </c>
      <c r="AY69" s="276">
        <f t="shared" si="110"/>
        <v>0</v>
      </c>
      <c r="AZ69" s="276">
        <f t="shared" si="110"/>
        <v>0</v>
      </c>
      <c r="BA69" s="276">
        <f t="shared" si="110"/>
        <v>0</v>
      </c>
      <c r="BB69" s="95"/>
      <c r="BC69" s="276">
        <f>SUM(BC50:BC51)-BC52</f>
        <v>0</v>
      </c>
      <c r="BD69" s="276">
        <f t="shared" ref="BD69:BI69" si="111">SUM(BD50:BD51)-BD52</f>
        <v>0</v>
      </c>
      <c r="BE69" s="276">
        <f t="shared" si="111"/>
        <v>0</v>
      </c>
      <c r="BF69" s="276">
        <f t="shared" si="111"/>
        <v>0</v>
      </c>
      <c r="BG69" s="276">
        <f t="shared" si="111"/>
        <v>0</v>
      </c>
      <c r="BH69" s="276">
        <f t="shared" si="111"/>
        <v>0</v>
      </c>
      <c r="BI69" s="276">
        <f t="shared" si="111"/>
        <v>0</v>
      </c>
      <c r="BJ69" s="95"/>
      <c r="BK69" s="276">
        <f>SUM(BK50:BK51)-BK52</f>
        <v>0</v>
      </c>
      <c r="BL69" s="276">
        <f t="shared" ref="BL69:BQ69" si="112">SUM(BL50:BL51)-BL52</f>
        <v>0</v>
      </c>
      <c r="BM69" s="276">
        <f t="shared" si="112"/>
        <v>0</v>
      </c>
      <c r="BN69" s="276">
        <f t="shared" si="112"/>
        <v>0</v>
      </c>
      <c r="BO69" s="276">
        <f t="shared" si="112"/>
        <v>0</v>
      </c>
      <c r="BP69" s="276">
        <f t="shared" si="112"/>
        <v>0</v>
      </c>
      <c r="BQ69" s="276">
        <f t="shared" si="112"/>
        <v>0</v>
      </c>
    </row>
    <row r="70" spans="1:69" hidden="1" outlineLevel="1" x14ac:dyDescent="0.25">
      <c r="B70" s="277" t="s">
        <v>40</v>
      </c>
      <c r="C70" s="95"/>
      <c r="D70" s="95"/>
      <c r="E70" s="276">
        <f t="shared" ref="E70" si="113">E48-E52-E54</f>
        <v>8.000002708286047E-5</v>
      </c>
      <c r="F70" s="95"/>
      <c r="G70" s="276">
        <f t="shared" ref="G70:M70" si="114">G48-G52-G54</f>
        <v>8.000002708286047E-5</v>
      </c>
      <c r="H70" s="276">
        <f t="shared" si="114"/>
        <v>0</v>
      </c>
      <c r="I70" s="276">
        <f t="shared" si="114"/>
        <v>8.000002708286047E-5</v>
      </c>
      <c r="J70" s="276">
        <f t="shared" si="114"/>
        <v>0</v>
      </c>
      <c r="K70" s="276">
        <f t="shared" si="114"/>
        <v>7.9999997979030013E-5</v>
      </c>
      <c r="L70" s="276">
        <f t="shared" si="114"/>
        <v>0</v>
      </c>
      <c r="M70" s="276">
        <f t="shared" si="114"/>
        <v>7.9999997979030013E-5</v>
      </c>
      <c r="N70" s="95"/>
      <c r="O70" s="276">
        <f t="shared" ref="O70:U70" si="115">O48-O52-O54</f>
        <v>0</v>
      </c>
      <c r="P70" s="276">
        <f t="shared" si="115"/>
        <v>0</v>
      </c>
      <c r="Q70" s="276">
        <f t="shared" si="115"/>
        <v>0</v>
      </c>
      <c r="R70" s="276">
        <f t="shared" si="115"/>
        <v>0</v>
      </c>
      <c r="S70" s="276">
        <f t="shared" si="115"/>
        <v>0</v>
      </c>
      <c r="T70" s="276">
        <f t="shared" si="115"/>
        <v>0</v>
      </c>
      <c r="U70" s="276">
        <f t="shared" si="115"/>
        <v>0</v>
      </c>
      <c r="V70" s="95"/>
      <c r="W70" s="276">
        <f t="shared" ref="W70:AC70" si="116">W48-W52-W54</f>
        <v>0</v>
      </c>
      <c r="X70" s="276">
        <f t="shared" si="116"/>
        <v>0</v>
      </c>
      <c r="Y70" s="276">
        <f t="shared" ref="Y70" si="117">Y48-Y52-Y54</f>
        <v>0</v>
      </c>
      <c r="Z70" s="276">
        <f t="shared" si="116"/>
        <v>0</v>
      </c>
      <c r="AA70" s="276">
        <f t="shared" si="116"/>
        <v>1.1080000054789707E-2</v>
      </c>
      <c r="AB70" s="276">
        <f t="shared" si="116"/>
        <v>0</v>
      </c>
      <c r="AC70" s="276">
        <f t="shared" si="116"/>
        <v>8.000002708286047E-5</v>
      </c>
      <c r="AD70" s="95"/>
      <c r="AE70" s="276">
        <f t="shared" ref="AE70:AK70" si="118">AE48-AE52-AE54</f>
        <v>0</v>
      </c>
      <c r="AF70" s="276">
        <f t="shared" si="118"/>
        <v>0</v>
      </c>
      <c r="AG70" s="276">
        <f t="shared" si="118"/>
        <v>0</v>
      </c>
      <c r="AH70" s="276">
        <f t="shared" si="118"/>
        <v>0</v>
      </c>
      <c r="AI70" s="276">
        <f t="shared" si="118"/>
        <v>0</v>
      </c>
      <c r="AJ70" s="276">
        <f t="shared" si="118"/>
        <v>0</v>
      </c>
      <c r="AK70" s="276">
        <f t="shared" si="118"/>
        <v>0</v>
      </c>
      <c r="AL70" s="95"/>
      <c r="AM70" s="276">
        <f>AM48-AM52-AM54</f>
        <v>0</v>
      </c>
      <c r="AN70" s="276">
        <f t="shared" ref="AN70:AS70" si="119">AN48-AN52-AN54</f>
        <v>0</v>
      </c>
      <c r="AO70" s="276">
        <f t="shared" si="119"/>
        <v>0</v>
      </c>
      <c r="AP70" s="276">
        <f>AP48-AP52-AP54</f>
        <v>0</v>
      </c>
      <c r="AQ70" s="276">
        <f t="shared" si="119"/>
        <v>0</v>
      </c>
      <c r="AR70" s="276">
        <f t="shared" si="119"/>
        <v>0</v>
      </c>
      <c r="AS70" s="276">
        <f t="shared" si="119"/>
        <v>0</v>
      </c>
      <c r="AT70" s="95"/>
      <c r="AU70" s="276">
        <f>AU48-AU52-AU54</f>
        <v>0</v>
      </c>
      <c r="AV70" s="276">
        <f t="shared" ref="AV70:BA70" si="120">AV48-AV52-AV54</f>
        <v>0</v>
      </c>
      <c r="AW70" s="276">
        <f t="shared" si="120"/>
        <v>0</v>
      </c>
      <c r="AX70" s="276">
        <f t="shared" si="120"/>
        <v>0</v>
      </c>
      <c r="AY70" s="276">
        <f t="shared" si="120"/>
        <v>0</v>
      </c>
      <c r="AZ70" s="276">
        <f t="shared" si="120"/>
        <v>0</v>
      </c>
      <c r="BA70" s="276">
        <f t="shared" si="120"/>
        <v>0</v>
      </c>
      <c r="BB70" s="95"/>
      <c r="BC70" s="276">
        <f>BC48-BC52-BC54</f>
        <v>0</v>
      </c>
      <c r="BD70" s="276">
        <f t="shared" ref="BD70:BI70" si="121">BD48-BD52-BD54</f>
        <v>0</v>
      </c>
      <c r="BE70" s="276">
        <f t="shared" si="121"/>
        <v>0</v>
      </c>
      <c r="BF70" s="276">
        <f t="shared" si="121"/>
        <v>0</v>
      </c>
      <c r="BG70" s="276">
        <f t="shared" si="121"/>
        <v>0</v>
      </c>
      <c r="BH70" s="276">
        <f t="shared" si="121"/>
        <v>0</v>
      </c>
      <c r="BI70" s="276">
        <f t="shared" si="121"/>
        <v>0</v>
      </c>
      <c r="BJ70" s="95"/>
      <c r="BK70" s="276">
        <f>BK48-BK52-BK54</f>
        <v>0</v>
      </c>
      <c r="BL70" s="276">
        <f t="shared" ref="BL70:BQ70" si="122">BL48-BL52-BL54</f>
        <v>0</v>
      </c>
      <c r="BM70" s="276">
        <f t="shared" si="122"/>
        <v>0</v>
      </c>
      <c r="BN70" s="276">
        <f t="shared" si="122"/>
        <v>0</v>
      </c>
      <c r="BO70" s="276">
        <f t="shared" si="122"/>
        <v>0</v>
      </c>
      <c r="BP70" s="276">
        <f t="shared" si="122"/>
        <v>0</v>
      </c>
      <c r="BQ70" s="276">
        <f t="shared" si="122"/>
        <v>0</v>
      </c>
    </row>
    <row r="71" spans="1:69" collapsed="1" x14ac:dyDescent="0.25">
      <c r="A71" s="310" t="s">
        <v>225</v>
      </c>
    </row>
    <row r="72" spans="1:69" x14ac:dyDescent="0.25">
      <c r="A72" s="310" t="s">
        <v>226</v>
      </c>
    </row>
    <row r="73" spans="1:69" x14ac:dyDescent="0.25">
      <c r="A73" s="310" t="s">
        <v>227</v>
      </c>
    </row>
    <row r="74" spans="1:69" x14ac:dyDescent="0.25">
      <c r="A74" s="310" t="s">
        <v>228</v>
      </c>
    </row>
  </sheetData>
  <mergeCells count="8">
    <mergeCell ref="G15:M15"/>
    <mergeCell ref="O15:U15"/>
    <mergeCell ref="W15:AC15"/>
    <mergeCell ref="BK15:BQ15"/>
    <mergeCell ref="BC15:BI15"/>
    <mergeCell ref="AU15:BA15"/>
    <mergeCell ref="AM15:AS15"/>
    <mergeCell ref="AE15:AK1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FAC43-45C0-4E8C-BD8D-E823F5A4BC2B}">
  <dimension ref="A1:CC73"/>
  <sheetViews>
    <sheetView showGridLines="0" topLeftCell="B1" workbookViewId="0">
      <selection activeCell="B1" sqref="B1"/>
    </sheetView>
  </sheetViews>
  <sheetFormatPr defaultColWidth="9.140625" defaultRowHeight="15" outlineLevelRow="1" outlineLevelCol="1" x14ac:dyDescent="0.25"/>
  <cols>
    <col min="1" max="1" width="0" style="310" hidden="1" customWidth="1" outlineLevel="1"/>
    <col min="2" max="2" width="40.140625" style="310" bestFit="1" customWidth="1" collapsed="1"/>
    <col min="3" max="3" width="12.5703125" style="310" customWidth="1"/>
    <col min="4" max="4" width="3.28515625" style="310" customWidth="1"/>
    <col min="5" max="5" width="9" style="310" bestFit="1" customWidth="1"/>
    <col min="6" max="6" width="3.28515625" style="310" customWidth="1"/>
    <col min="7" max="7" width="9" style="310" bestFit="1" customWidth="1"/>
    <col min="8" max="8" width="8" style="310" bestFit="1" customWidth="1"/>
    <col min="9" max="9" width="9" style="310" bestFit="1" customWidth="1"/>
    <col min="10" max="10" width="8" style="310" bestFit="1" customWidth="1"/>
    <col min="11" max="11" width="9" style="310" bestFit="1" customWidth="1"/>
    <col min="12" max="12" width="8" style="310" bestFit="1" customWidth="1"/>
    <col min="13" max="13" width="9" style="310" bestFit="1" customWidth="1"/>
    <col min="14" max="14" width="3.28515625" style="310" customWidth="1"/>
    <col min="15" max="19" width="12.5703125" style="310" customWidth="1"/>
    <col min="20" max="20" width="11.42578125" style="310" customWidth="1"/>
    <col min="21" max="21" width="11.28515625" style="310" customWidth="1"/>
    <col min="22" max="22" width="3.5703125" style="310" customWidth="1"/>
    <col min="23" max="27" width="12.5703125" style="310" customWidth="1"/>
    <col min="28" max="28" width="11.42578125" style="310" customWidth="1"/>
    <col min="29" max="29" width="11.28515625" style="310" customWidth="1"/>
    <col min="30" max="30" width="3.5703125" style="310" customWidth="1"/>
    <col min="31" max="35" width="12.5703125" style="310" customWidth="1"/>
    <col min="36" max="36" width="11.42578125" style="310" customWidth="1"/>
    <col min="37" max="37" width="11.28515625" style="310" customWidth="1"/>
    <col min="38" max="38" width="3" style="310" customWidth="1"/>
    <col min="39" max="40" width="9" style="310" bestFit="1" customWidth="1"/>
    <col min="41" max="41" width="8" style="310" bestFit="1" customWidth="1"/>
    <col min="42" max="43" width="9" style="310" bestFit="1" customWidth="1"/>
    <col min="44" max="44" width="9.5703125" style="310" bestFit="1" customWidth="1"/>
    <col min="45" max="45" width="9" style="310" bestFit="1" customWidth="1"/>
    <col min="46" max="46" width="3" style="310" customWidth="1"/>
    <col min="47" max="47" width="8.7109375" style="310" customWidth="1"/>
    <col min="48" max="16384" width="9.140625" style="310"/>
  </cols>
  <sheetData>
    <row r="1" spans="2:81" x14ac:dyDescent="0.25">
      <c r="B1" s="300" t="s">
        <v>173</v>
      </c>
      <c r="C1" s="301">
        <v>456.8</v>
      </c>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327"/>
      <c r="AS1" s="327"/>
      <c r="AT1" s="327"/>
      <c r="AU1" s="327"/>
    </row>
    <row r="2" spans="2:81" x14ac:dyDescent="0.25">
      <c r="B2" s="302" t="s">
        <v>42</v>
      </c>
      <c r="C2" s="303">
        <v>278.5</v>
      </c>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28"/>
    </row>
    <row r="3" spans="2:81" x14ac:dyDescent="0.25">
      <c r="B3" s="393" t="s">
        <v>43</v>
      </c>
      <c r="C3" s="303">
        <v>61.5</v>
      </c>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28"/>
    </row>
    <row r="4" spans="2:81" x14ac:dyDescent="0.25">
      <c r="B4" s="393" t="s">
        <v>44</v>
      </c>
      <c r="C4" s="303">
        <v>116.8</v>
      </c>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28"/>
    </row>
    <row r="5" spans="2:81" x14ac:dyDescent="0.25">
      <c r="B5" s="393"/>
      <c r="C5" s="303"/>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28"/>
    </row>
    <row r="6" spans="2:81" x14ac:dyDescent="0.25">
      <c r="B6" s="393" t="s">
        <v>201</v>
      </c>
      <c r="C6" s="303">
        <v>48</v>
      </c>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4"/>
      <c r="AM6" s="354"/>
      <c r="AN6" s="354"/>
      <c r="AO6" s="354"/>
      <c r="AP6" s="354"/>
      <c r="AQ6" s="354"/>
      <c r="AR6" s="354"/>
      <c r="AS6" s="354"/>
      <c r="AT6" s="354"/>
      <c r="AU6" s="328"/>
    </row>
    <row r="7" spans="2:81" x14ac:dyDescent="0.25">
      <c r="B7" s="393" t="s">
        <v>241</v>
      </c>
      <c r="C7" s="303">
        <v>-131</v>
      </c>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28"/>
    </row>
    <row r="8" spans="2:81" ht="15.75" thickBot="1" x14ac:dyDescent="0.3">
      <c r="B8" s="320" t="s">
        <v>235</v>
      </c>
      <c r="C8" s="588">
        <v>165.9</v>
      </c>
      <c r="D8" s="361"/>
      <c r="E8" s="361"/>
      <c r="F8" s="361"/>
      <c r="G8" s="361"/>
      <c r="H8" s="361"/>
      <c r="I8" s="361"/>
      <c r="J8" s="361"/>
      <c r="K8" s="361"/>
      <c r="L8" s="361"/>
      <c r="M8" s="361"/>
      <c r="N8" s="361"/>
      <c r="O8" s="305"/>
      <c r="P8" s="305"/>
      <c r="Q8" s="305"/>
      <c r="R8" s="305"/>
      <c r="S8" s="305"/>
      <c r="T8" s="305"/>
      <c r="U8" s="305"/>
      <c r="V8" s="361"/>
      <c r="W8" s="305"/>
      <c r="X8" s="305"/>
      <c r="Y8" s="305"/>
      <c r="Z8" s="305"/>
      <c r="AA8" s="305"/>
      <c r="AB8" s="305"/>
      <c r="AC8" s="305"/>
      <c r="AD8" s="361"/>
      <c r="AE8" s="305"/>
      <c r="AF8" s="305"/>
      <c r="AG8" s="305"/>
      <c r="AH8" s="305"/>
      <c r="AI8" s="305"/>
      <c r="AJ8" s="305"/>
      <c r="AK8" s="305"/>
      <c r="AL8" s="305"/>
      <c r="AM8" s="305"/>
      <c r="AN8" s="305"/>
      <c r="AO8" s="305"/>
      <c r="AP8" s="305"/>
      <c r="AQ8" s="305"/>
      <c r="AR8" s="305"/>
      <c r="AS8" s="305"/>
      <c r="AT8" s="305"/>
      <c r="AU8" s="305"/>
    </row>
    <row r="9" spans="2:81" x14ac:dyDescent="0.25">
      <c r="B9" s="304"/>
      <c r="C9" s="305"/>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row>
    <row r="10" spans="2:81" x14ac:dyDescent="0.25">
      <c r="B10" s="304"/>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row>
    <row r="11" spans="2:81" x14ac:dyDescent="0.25">
      <c r="B11" s="304"/>
      <c r="C11" s="305"/>
      <c r="D11" s="305"/>
      <c r="E11" s="305"/>
      <c r="F11" s="305"/>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row>
    <row r="12" spans="2:81" x14ac:dyDescent="0.25">
      <c r="B12" s="304"/>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row>
    <row r="13" spans="2:81" ht="15.75" thickBot="1" x14ac:dyDescent="0.3">
      <c r="B13" s="304" t="str" cm="1">
        <f t="array" aca="1" ref="B13" ca="1">MID(CELL("filename",B1),FIND("]",CELL("filename",B1))+1,255)</f>
        <v>BOA Technology</v>
      </c>
      <c r="C13" s="306"/>
      <c r="D13" s="306"/>
      <c r="E13" s="306"/>
      <c r="F13" s="306"/>
      <c r="G13" s="306"/>
      <c r="H13" s="306"/>
      <c r="I13" s="306"/>
      <c r="J13" s="306"/>
      <c r="K13" s="306"/>
      <c r="L13" s="306"/>
      <c r="M13" s="306"/>
      <c r="N13" s="306"/>
      <c r="O13" s="552"/>
      <c r="P13" s="306"/>
      <c r="Q13" s="306"/>
      <c r="R13" s="306"/>
      <c r="S13" s="552"/>
      <c r="T13" s="552"/>
      <c r="U13" s="306"/>
      <c r="V13" s="306"/>
      <c r="W13" s="552"/>
      <c r="X13" s="306"/>
      <c r="Y13" s="306"/>
      <c r="Z13" s="306"/>
      <c r="AA13" s="552"/>
      <c r="AB13" s="552"/>
      <c r="AC13" s="306"/>
      <c r="AD13" s="306"/>
      <c r="AE13" s="552"/>
      <c r="AF13" s="306"/>
      <c r="AG13" s="306"/>
      <c r="AH13" s="306"/>
      <c r="AI13" s="552"/>
      <c r="AJ13" s="552"/>
      <c r="AK13" s="306"/>
      <c r="AL13" s="306"/>
      <c r="AM13" s="306"/>
      <c r="AN13" s="306"/>
      <c r="AO13" s="306"/>
      <c r="AP13" s="306"/>
      <c r="AQ13" s="306"/>
      <c r="AR13" s="306"/>
      <c r="AS13" s="306"/>
      <c r="AT13" s="306"/>
      <c r="AU13" s="552"/>
    </row>
    <row r="14" spans="2:81" ht="15.75" thickBot="1" x14ac:dyDescent="0.3">
      <c r="B14" s="302"/>
      <c r="C14" s="274"/>
      <c r="D14" s="274"/>
      <c r="E14" s="737">
        <v>2026</v>
      </c>
      <c r="F14" s="274"/>
      <c r="G14" s="807">
        <v>2025</v>
      </c>
      <c r="H14" s="808"/>
      <c r="I14" s="808"/>
      <c r="J14" s="808"/>
      <c r="K14" s="808"/>
      <c r="L14" s="808"/>
      <c r="M14" s="809"/>
      <c r="N14" s="274"/>
      <c r="O14" s="807">
        <v>2024</v>
      </c>
      <c r="P14" s="808"/>
      <c r="Q14" s="808"/>
      <c r="R14" s="808"/>
      <c r="S14" s="808"/>
      <c r="T14" s="808"/>
      <c r="U14" s="809"/>
      <c r="V14" s="566"/>
      <c r="W14" s="807">
        <v>2023</v>
      </c>
      <c r="X14" s="808"/>
      <c r="Y14" s="808"/>
      <c r="Z14" s="808"/>
      <c r="AA14" s="808"/>
      <c r="AB14" s="808"/>
      <c r="AC14" s="809"/>
      <c r="AD14" s="566"/>
      <c r="AE14" s="807">
        <v>2022</v>
      </c>
      <c r="AF14" s="808"/>
      <c r="AG14" s="808"/>
      <c r="AH14" s="808"/>
      <c r="AI14" s="808"/>
      <c r="AJ14" s="808"/>
      <c r="AK14" s="809"/>
      <c r="AL14" s="274"/>
      <c r="AM14" s="825">
        <v>2021</v>
      </c>
      <c r="AN14" s="826"/>
      <c r="AO14" s="826"/>
      <c r="AP14" s="826"/>
      <c r="AQ14" s="826"/>
      <c r="AR14" s="826"/>
      <c r="AS14" s="827"/>
      <c r="AT14" s="274"/>
      <c r="AU14" s="475">
        <v>2020</v>
      </c>
    </row>
    <row r="15" spans="2:81" x14ac:dyDescent="0.25">
      <c r="B15" s="42"/>
      <c r="C15" s="274"/>
      <c r="D15" s="274"/>
      <c r="E15" s="728" t="s">
        <v>3</v>
      </c>
      <c r="F15" s="274"/>
      <c r="G15" s="521" t="s">
        <v>3</v>
      </c>
      <c r="H15" s="97" t="s">
        <v>4</v>
      </c>
      <c r="I15" s="97" t="s">
        <v>5</v>
      </c>
      <c r="J15" s="10" t="s">
        <v>6</v>
      </c>
      <c r="K15" s="10" t="s">
        <v>7</v>
      </c>
      <c r="L15" s="81" t="str">
        <f>T15</f>
        <v>Q4 QTD</v>
      </c>
      <c r="M15" s="82" t="str">
        <f>U15</f>
        <v>Q4 YTD</v>
      </c>
      <c r="N15" s="274"/>
      <c r="O15" s="521" t="s">
        <v>3</v>
      </c>
      <c r="P15" s="97" t="s">
        <v>4</v>
      </c>
      <c r="Q15" s="97" t="s">
        <v>5</v>
      </c>
      <c r="R15" s="10" t="s">
        <v>6</v>
      </c>
      <c r="S15" s="10" t="s">
        <v>7</v>
      </c>
      <c r="T15" s="81" t="str">
        <f>AB15</f>
        <v>Q4 QTD</v>
      </c>
      <c r="U15" s="82" t="str">
        <f>AC15</f>
        <v>Q4 YTD</v>
      </c>
      <c r="V15" s="476"/>
      <c r="W15" s="521" t="s">
        <v>3</v>
      </c>
      <c r="X15" s="97" t="s">
        <v>4</v>
      </c>
      <c r="Y15" s="97" t="s">
        <v>5</v>
      </c>
      <c r="Z15" s="10" t="s">
        <v>6</v>
      </c>
      <c r="AA15" s="10" t="s">
        <v>7</v>
      </c>
      <c r="AB15" s="81" t="str">
        <f>AJ15</f>
        <v>Q4 QTD</v>
      </c>
      <c r="AC15" s="82" t="str">
        <f>AK15</f>
        <v>Q4 YTD</v>
      </c>
      <c r="AD15" s="476"/>
      <c r="AE15" s="521" t="s">
        <v>3</v>
      </c>
      <c r="AF15" s="97" t="s">
        <v>4</v>
      </c>
      <c r="AG15" s="97" t="s">
        <v>5</v>
      </c>
      <c r="AH15" s="10" t="s">
        <v>6</v>
      </c>
      <c r="AI15" s="10" t="s">
        <v>7</v>
      </c>
      <c r="AJ15" s="81" t="str">
        <f>AR15</f>
        <v>Q4 QTD</v>
      </c>
      <c r="AK15" s="82" t="str">
        <f>AS15</f>
        <v>Q4 YTD</v>
      </c>
      <c r="AL15" s="274"/>
      <c r="AM15" s="76" t="s">
        <v>3</v>
      </c>
      <c r="AN15" s="10" t="s">
        <v>4</v>
      </c>
      <c r="AO15" s="10" t="s">
        <v>5</v>
      </c>
      <c r="AP15" s="10" t="s">
        <v>6</v>
      </c>
      <c r="AQ15" s="10" t="s">
        <v>7</v>
      </c>
      <c r="AR15" s="10" t="s">
        <v>8</v>
      </c>
      <c r="AS15" s="13" t="s">
        <v>9</v>
      </c>
      <c r="AT15" s="274"/>
      <c r="AU15" s="476" t="s">
        <v>9</v>
      </c>
    </row>
    <row r="16" spans="2:81" s="4" customFormat="1" x14ac:dyDescent="0.25">
      <c r="B16" s="42"/>
      <c r="C16" s="22"/>
      <c r="D16" s="22"/>
      <c r="E16" s="577"/>
      <c r="F16" s="22"/>
      <c r="G16" s="24"/>
      <c r="H16" s="405"/>
      <c r="I16" s="405"/>
      <c r="J16" s="405"/>
      <c r="K16" s="405"/>
      <c r="L16" s="405"/>
      <c r="M16" s="23"/>
      <c r="N16" s="22"/>
      <c r="O16" s="24"/>
      <c r="P16" s="405"/>
      <c r="Q16" s="405"/>
      <c r="R16" s="405"/>
      <c r="S16" s="405"/>
      <c r="T16" s="405"/>
      <c r="U16" s="23"/>
      <c r="V16" s="577"/>
      <c r="W16" s="24"/>
      <c r="X16" s="405"/>
      <c r="Y16" s="405"/>
      <c r="Z16" s="405"/>
      <c r="AA16" s="405"/>
      <c r="AB16" s="405"/>
      <c r="AC16" s="23"/>
      <c r="AD16" s="577"/>
      <c r="AE16" s="24"/>
      <c r="AF16" s="405"/>
      <c r="AG16" s="405"/>
      <c r="AH16" s="405"/>
      <c r="AI16" s="405"/>
      <c r="AJ16" s="405"/>
      <c r="AK16" s="23"/>
      <c r="AL16" s="22"/>
      <c r="AM16" s="24"/>
      <c r="AN16" s="405"/>
      <c r="AO16" s="405"/>
      <c r="AP16" s="405"/>
      <c r="AQ16" s="405"/>
      <c r="AR16" s="405"/>
      <c r="AS16" s="23"/>
      <c r="AT16" s="22"/>
      <c r="AU16" s="24"/>
      <c r="AV16" s="405"/>
      <c r="AW16" s="405"/>
      <c r="AX16" s="405"/>
      <c r="AY16" s="405"/>
      <c r="AZ16" s="405"/>
      <c r="BA16" s="23"/>
      <c r="BB16" s="22"/>
      <c r="BC16" s="24"/>
      <c r="BD16" s="22"/>
      <c r="BE16" s="22"/>
      <c r="BF16" s="22"/>
      <c r="BG16" s="22"/>
      <c r="BH16" s="22"/>
      <c r="BI16" s="23"/>
      <c r="BJ16" s="22"/>
      <c r="BK16" s="24"/>
      <c r="BL16" s="22"/>
      <c r="BM16" s="22"/>
      <c r="BN16" s="22"/>
      <c r="BO16" s="22"/>
      <c r="BP16" s="22"/>
      <c r="BQ16" s="23"/>
      <c r="BR16" s="22"/>
      <c r="BS16" s="24"/>
      <c r="BT16" s="22"/>
      <c r="BU16" s="22"/>
      <c r="BV16" s="22"/>
      <c r="BW16" s="22"/>
      <c r="BX16" s="22"/>
      <c r="BY16" s="23"/>
      <c r="BZ16" s="22"/>
      <c r="CA16" s="83"/>
      <c r="CB16" s="36"/>
      <c r="CC16" s="37"/>
    </row>
    <row r="17" spans="1:47" x14ac:dyDescent="0.25">
      <c r="A17" s="310" t="s">
        <v>10</v>
      </c>
      <c r="B17" s="308" t="s">
        <v>10</v>
      </c>
      <c r="C17" s="274"/>
      <c r="D17" s="274"/>
      <c r="E17" s="706">
        <v>52107.322999999997</v>
      </c>
      <c r="F17" s="274"/>
      <c r="G17" s="567">
        <v>48877.044000000002</v>
      </c>
      <c r="H17" s="423">
        <v>48368.601000000002</v>
      </c>
      <c r="I17" s="423">
        <v>97245.645000000004</v>
      </c>
      <c r="J17" s="423">
        <v>43940.934999999998</v>
      </c>
      <c r="K17" s="423">
        <v>141186.57999999999</v>
      </c>
      <c r="L17" s="423">
        <v>49302.663999999997</v>
      </c>
      <c r="M17" s="40">
        <v>190489.24400000001</v>
      </c>
      <c r="N17" s="274"/>
      <c r="O17" s="567">
        <v>42903</v>
      </c>
      <c r="P17" s="423">
        <v>54160</v>
      </c>
      <c r="Q17" s="423">
        <v>97063</v>
      </c>
      <c r="R17" s="423">
        <v>45607</v>
      </c>
      <c r="S17" s="423">
        <v>142670</v>
      </c>
      <c r="T17" s="423">
        <v>48141</v>
      </c>
      <c r="U17" s="423">
        <v>190811</v>
      </c>
      <c r="V17" s="483"/>
      <c r="W17" s="567">
        <v>37986</v>
      </c>
      <c r="X17" s="423">
        <f>Y17-W17</f>
        <v>38123</v>
      </c>
      <c r="Y17" s="423">
        <v>76109</v>
      </c>
      <c r="Z17" s="406">
        <f>AA17-Y17</f>
        <v>37281</v>
      </c>
      <c r="AA17" s="423">
        <v>113390</v>
      </c>
      <c r="AB17" s="406">
        <f>AC17-AA17</f>
        <v>42435.458000000013</v>
      </c>
      <c r="AC17" s="40">
        <v>155825.45800000001</v>
      </c>
      <c r="AD17" s="483"/>
      <c r="AE17" s="84">
        <v>56810</v>
      </c>
      <c r="AF17" s="423">
        <f>AG17-AE17</f>
        <v>59386</v>
      </c>
      <c r="AG17" s="423">
        <v>116196</v>
      </c>
      <c r="AH17" s="423">
        <f>AI17-AG17</f>
        <v>50019</v>
      </c>
      <c r="AI17" s="423">
        <v>166215</v>
      </c>
      <c r="AJ17" s="423">
        <f>AK17-AI17</f>
        <v>42473</v>
      </c>
      <c r="AK17" s="40">
        <v>208688</v>
      </c>
      <c r="AL17" s="274"/>
      <c r="AM17" s="84">
        <v>36452</v>
      </c>
      <c r="AN17" s="423">
        <v>44085</v>
      </c>
      <c r="AO17" s="423">
        <v>80537</v>
      </c>
      <c r="AP17" s="423">
        <v>39496</v>
      </c>
      <c r="AQ17" s="423">
        <v>120033</v>
      </c>
      <c r="AR17" s="423">
        <f>AS17-AQ17</f>
        <v>45117</v>
      </c>
      <c r="AS17" s="40">
        <v>165150</v>
      </c>
      <c r="AT17" s="274"/>
      <c r="AU17" s="477">
        <v>25278</v>
      </c>
    </row>
    <row r="18" spans="1:47" ht="17.25" x14ac:dyDescent="0.4">
      <c r="A18" s="310" t="s">
        <v>210</v>
      </c>
      <c r="B18" s="308" t="s">
        <v>11</v>
      </c>
      <c r="C18" s="274"/>
      <c r="D18" s="274"/>
      <c r="E18" s="739">
        <v>17979.300999999999</v>
      </c>
      <c r="F18" s="274"/>
      <c r="G18" s="568">
        <v>17657.996999999999</v>
      </c>
      <c r="H18" s="427">
        <v>17364.937999999998</v>
      </c>
      <c r="I18" s="427">
        <v>35022.934999999998</v>
      </c>
      <c r="J18" s="427">
        <v>15654.07</v>
      </c>
      <c r="K18" s="427">
        <v>50677.004999999997</v>
      </c>
      <c r="L18" s="427">
        <v>17450</v>
      </c>
      <c r="M18" s="326">
        <v>68127.005000000005</v>
      </c>
      <c r="N18" s="274"/>
      <c r="O18" s="568">
        <v>16688</v>
      </c>
      <c r="P18" s="427">
        <v>20090</v>
      </c>
      <c r="Q18" s="427">
        <v>36778</v>
      </c>
      <c r="R18" s="427">
        <v>16941</v>
      </c>
      <c r="S18" s="427">
        <v>53719</v>
      </c>
      <c r="T18" s="427">
        <v>17874</v>
      </c>
      <c r="U18" s="427">
        <v>71593</v>
      </c>
      <c r="V18" s="483"/>
      <c r="W18" s="568">
        <v>15195</v>
      </c>
      <c r="X18" s="427">
        <f t="shared" ref="X18:X44" si="0">Y18-W18</f>
        <v>15316</v>
      </c>
      <c r="Y18" s="427">
        <v>30511</v>
      </c>
      <c r="Z18" s="407">
        <f t="shared" ref="Z18:AB29" si="1">AA18-Y18</f>
        <v>15320</v>
      </c>
      <c r="AA18" s="427">
        <v>45831</v>
      </c>
      <c r="AB18" s="407">
        <f t="shared" si="1"/>
        <v>16956.016000000003</v>
      </c>
      <c r="AC18" s="326">
        <v>62787.016000000003</v>
      </c>
      <c r="AD18" s="483"/>
      <c r="AE18" s="324">
        <v>21118</v>
      </c>
      <c r="AF18" s="427">
        <f t="shared" ref="AF18:AF44" si="2">AG18-AE18</f>
        <v>22979</v>
      </c>
      <c r="AG18" s="427">
        <v>44097</v>
      </c>
      <c r="AH18" s="427">
        <f t="shared" ref="AH18:AH44" si="3">AI18-AG18</f>
        <v>20145</v>
      </c>
      <c r="AI18" s="427">
        <v>64242</v>
      </c>
      <c r="AJ18" s="427">
        <f t="shared" ref="AJ18:AJ44" si="4">AK18-AI18</f>
        <v>17678</v>
      </c>
      <c r="AK18" s="326">
        <v>81920</v>
      </c>
      <c r="AL18" s="274"/>
      <c r="AM18" s="324">
        <v>13688</v>
      </c>
      <c r="AN18" s="427">
        <v>16308</v>
      </c>
      <c r="AO18" s="427">
        <v>29996</v>
      </c>
      <c r="AP18" s="427">
        <v>15546</v>
      </c>
      <c r="AQ18" s="427">
        <v>45542</v>
      </c>
      <c r="AR18" s="427">
        <f t="shared" ref="AR18:AR43" si="5">AS18-AQ18</f>
        <v>18633</v>
      </c>
      <c r="AS18" s="326">
        <v>64175</v>
      </c>
      <c r="AT18" s="274"/>
      <c r="AU18" s="478">
        <v>11182</v>
      </c>
    </row>
    <row r="19" spans="1:47" x14ac:dyDescent="0.25">
      <c r="A19" s="310" t="s">
        <v>12</v>
      </c>
      <c r="B19" s="308" t="s">
        <v>12</v>
      </c>
      <c r="C19" s="274"/>
      <c r="D19" s="274"/>
      <c r="E19" s="706">
        <f>E17-E18</f>
        <v>34128.021999999997</v>
      </c>
      <c r="F19" s="274"/>
      <c r="G19" s="567">
        <f>G17-G18</f>
        <v>31219.047000000002</v>
      </c>
      <c r="H19" s="608">
        <f t="shared" ref="H19:M19" si="6">H17-H18</f>
        <v>31003.663000000004</v>
      </c>
      <c r="I19" s="608">
        <f t="shared" si="6"/>
        <v>62222.710000000006</v>
      </c>
      <c r="J19" s="608">
        <f t="shared" si="6"/>
        <v>28286.864999999998</v>
      </c>
      <c r="K19" s="608">
        <f t="shared" si="6"/>
        <v>90509.574999999983</v>
      </c>
      <c r="L19" s="608">
        <f t="shared" si="6"/>
        <v>31852.663999999997</v>
      </c>
      <c r="M19" s="622">
        <f t="shared" si="6"/>
        <v>122362.239</v>
      </c>
      <c r="N19" s="274"/>
      <c r="O19" s="567">
        <f>O17-O18</f>
        <v>26215</v>
      </c>
      <c r="P19" s="608">
        <f t="shared" ref="P19:Q19" si="7">P17-P18</f>
        <v>34070</v>
      </c>
      <c r="Q19" s="608">
        <f t="shared" si="7"/>
        <v>60285</v>
      </c>
      <c r="R19" s="608">
        <f t="shared" ref="R19:S19" si="8">R17-R18</f>
        <v>28666</v>
      </c>
      <c r="S19" s="608">
        <f t="shared" si="8"/>
        <v>88951</v>
      </c>
      <c r="T19" s="608">
        <f t="shared" ref="T19:U19" si="9">T17-T18</f>
        <v>30267</v>
      </c>
      <c r="U19" s="608">
        <f t="shared" si="9"/>
        <v>119218</v>
      </c>
      <c r="V19" s="483"/>
      <c r="W19" s="567">
        <v>22791</v>
      </c>
      <c r="X19" s="423">
        <f t="shared" si="0"/>
        <v>22807</v>
      </c>
      <c r="Y19" s="423">
        <v>45598</v>
      </c>
      <c r="Z19" s="406">
        <f t="shared" si="1"/>
        <v>21961</v>
      </c>
      <c r="AA19" s="423">
        <v>67559</v>
      </c>
      <c r="AB19" s="406">
        <f t="shared" si="1"/>
        <v>25479.441999999995</v>
      </c>
      <c r="AC19" s="40">
        <v>93038.441999999995</v>
      </c>
      <c r="AD19" s="483"/>
      <c r="AE19" s="84">
        <f>AE17-AE18</f>
        <v>35692</v>
      </c>
      <c r="AF19" s="423">
        <f t="shared" si="2"/>
        <v>36407</v>
      </c>
      <c r="AG19" s="423">
        <v>72099</v>
      </c>
      <c r="AH19" s="423">
        <f t="shared" si="3"/>
        <v>29874</v>
      </c>
      <c r="AI19" s="423">
        <v>101973</v>
      </c>
      <c r="AJ19" s="423">
        <f t="shared" si="4"/>
        <v>24795</v>
      </c>
      <c r="AK19" s="40">
        <v>126768</v>
      </c>
      <c r="AL19" s="274"/>
      <c r="AM19" s="84">
        <v>22764</v>
      </c>
      <c r="AN19" s="423">
        <v>27777</v>
      </c>
      <c r="AO19" s="423">
        <v>50541</v>
      </c>
      <c r="AP19" s="423">
        <v>23950</v>
      </c>
      <c r="AQ19" s="423">
        <v>74491</v>
      </c>
      <c r="AR19" s="423">
        <f t="shared" si="5"/>
        <v>26484</v>
      </c>
      <c r="AS19" s="40">
        <f>AS17-AS18</f>
        <v>100975</v>
      </c>
      <c r="AT19" s="274"/>
      <c r="AU19" s="477">
        <v>14096</v>
      </c>
    </row>
    <row r="20" spans="1:47" outlineLevel="1" x14ac:dyDescent="0.25">
      <c r="A20" s="310" t="s">
        <v>211</v>
      </c>
      <c r="B20" s="302" t="s">
        <v>13</v>
      </c>
      <c r="C20" s="274"/>
      <c r="D20" s="274"/>
      <c r="E20" s="740">
        <v>13763.870999999999</v>
      </c>
      <c r="F20" s="274"/>
      <c r="G20" s="569">
        <v>13360.475999999999</v>
      </c>
      <c r="H20" s="424">
        <v>12744.999</v>
      </c>
      <c r="I20" s="424">
        <v>26105.474999999999</v>
      </c>
      <c r="J20" s="424">
        <v>13256.281000000001</v>
      </c>
      <c r="K20" s="424">
        <v>39361.756000000001</v>
      </c>
      <c r="L20" s="424">
        <v>15947.473999999998</v>
      </c>
      <c r="M20" s="86">
        <v>55309.229999999996</v>
      </c>
      <c r="N20" s="274"/>
      <c r="O20" s="569">
        <v>12381</v>
      </c>
      <c r="P20" s="424">
        <v>13403</v>
      </c>
      <c r="Q20" s="424">
        <v>25784</v>
      </c>
      <c r="R20" s="424">
        <v>14120</v>
      </c>
      <c r="S20" s="424">
        <v>39904</v>
      </c>
      <c r="T20" s="424">
        <v>15370</v>
      </c>
      <c r="U20" s="424">
        <v>55274</v>
      </c>
      <c r="V20" s="483"/>
      <c r="W20" s="569">
        <v>10660</v>
      </c>
      <c r="X20" s="424">
        <f t="shared" si="0"/>
        <v>10573</v>
      </c>
      <c r="Y20" s="424">
        <v>21233</v>
      </c>
      <c r="Z20" s="408">
        <f t="shared" si="1"/>
        <v>11099</v>
      </c>
      <c r="AA20" s="424">
        <v>32332</v>
      </c>
      <c r="AB20" s="408">
        <f t="shared" si="1"/>
        <v>16691.284</v>
      </c>
      <c r="AC20" s="86">
        <v>49023.284</v>
      </c>
      <c r="AD20" s="483"/>
      <c r="AE20" s="85">
        <v>12713</v>
      </c>
      <c r="AF20" s="424">
        <f t="shared" si="2"/>
        <v>13785</v>
      </c>
      <c r="AG20" s="424">
        <v>26498</v>
      </c>
      <c r="AH20" s="424">
        <f t="shared" si="3"/>
        <v>12725</v>
      </c>
      <c r="AI20" s="424">
        <v>39223</v>
      </c>
      <c r="AJ20" s="424">
        <f t="shared" si="4"/>
        <v>13045</v>
      </c>
      <c r="AK20" s="86">
        <v>52268</v>
      </c>
      <c r="AL20" s="274"/>
      <c r="AM20" s="85">
        <v>11424</v>
      </c>
      <c r="AN20" s="424">
        <v>12330</v>
      </c>
      <c r="AO20" s="424">
        <v>23754</v>
      </c>
      <c r="AP20" s="424">
        <v>12696</v>
      </c>
      <c r="AQ20" s="424">
        <v>36450</v>
      </c>
      <c r="AR20" s="424">
        <f t="shared" si="5"/>
        <v>14140</v>
      </c>
      <c r="AS20" s="86">
        <v>50590</v>
      </c>
      <c r="AT20" s="274"/>
      <c r="AU20" s="479">
        <v>11675</v>
      </c>
    </row>
    <row r="21" spans="1:47" outlineLevel="1" x14ac:dyDescent="0.25">
      <c r="A21" s="310" t="s">
        <v>212</v>
      </c>
      <c r="B21" s="302" t="s">
        <v>14</v>
      </c>
      <c r="C21" s="274"/>
      <c r="D21" s="274"/>
      <c r="E21" s="740">
        <v>250</v>
      </c>
      <c r="F21" s="274"/>
      <c r="G21" s="569">
        <v>250</v>
      </c>
      <c r="H21" s="424">
        <v>249.999</v>
      </c>
      <c r="I21" s="424">
        <v>499.99900000000002</v>
      </c>
      <c r="J21" s="424">
        <v>250.001</v>
      </c>
      <c r="K21" s="424">
        <v>750</v>
      </c>
      <c r="L21" s="424">
        <v>250</v>
      </c>
      <c r="M21" s="86">
        <v>1000</v>
      </c>
      <c r="N21" s="274"/>
      <c r="O21" s="569">
        <v>250</v>
      </c>
      <c r="P21" s="424">
        <v>250</v>
      </c>
      <c r="Q21" s="424">
        <v>500</v>
      </c>
      <c r="R21" s="424">
        <v>250</v>
      </c>
      <c r="S21" s="424">
        <v>750</v>
      </c>
      <c r="T21" s="424">
        <v>250</v>
      </c>
      <c r="U21" s="424">
        <v>1000</v>
      </c>
      <c r="V21" s="483"/>
      <c r="W21" s="569">
        <v>250</v>
      </c>
      <c r="X21" s="424">
        <f t="shared" si="0"/>
        <v>250</v>
      </c>
      <c r="Y21" s="424">
        <v>500</v>
      </c>
      <c r="Z21" s="408">
        <f t="shared" si="1"/>
        <v>250</v>
      </c>
      <c r="AA21" s="424">
        <v>750</v>
      </c>
      <c r="AB21" s="408">
        <f t="shared" si="1"/>
        <v>250</v>
      </c>
      <c r="AC21" s="86">
        <v>1000</v>
      </c>
      <c r="AD21" s="483"/>
      <c r="AE21" s="85">
        <v>250</v>
      </c>
      <c r="AF21" s="424">
        <f t="shared" si="2"/>
        <v>250</v>
      </c>
      <c r="AG21" s="424">
        <v>500</v>
      </c>
      <c r="AH21" s="424">
        <f t="shared" si="3"/>
        <v>250</v>
      </c>
      <c r="AI21" s="424">
        <v>750</v>
      </c>
      <c r="AJ21" s="424">
        <f t="shared" si="4"/>
        <v>250</v>
      </c>
      <c r="AK21" s="86">
        <v>1000</v>
      </c>
      <c r="AL21" s="274"/>
      <c r="AM21" s="85">
        <v>250</v>
      </c>
      <c r="AN21" s="424">
        <v>250</v>
      </c>
      <c r="AO21" s="424">
        <v>500</v>
      </c>
      <c r="AP21" s="424">
        <v>250</v>
      </c>
      <c r="AQ21" s="424">
        <v>750</v>
      </c>
      <c r="AR21" s="424">
        <f t="shared" si="5"/>
        <v>250</v>
      </c>
      <c r="AS21" s="86">
        <v>1000</v>
      </c>
      <c r="AT21" s="274"/>
      <c r="AU21" s="479">
        <v>250</v>
      </c>
    </row>
    <row r="22" spans="1:47" outlineLevel="1" x14ac:dyDescent="0.25">
      <c r="A22" s="310" t="s">
        <v>213</v>
      </c>
      <c r="B22" s="302" t="s">
        <v>15</v>
      </c>
      <c r="C22" s="274"/>
      <c r="D22" s="274"/>
      <c r="E22" s="740">
        <v>3984.8820000000001</v>
      </c>
      <c r="F22" s="274"/>
      <c r="G22" s="569">
        <v>3954.3969999999999</v>
      </c>
      <c r="H22" s="424">
        <v>3962.8240000000001</v>
      </c>
      <c r="I22" s="424">
        <v>7917.2209999999995</v>
      </c>
      <c r="J22" s="424">
        <v>3981.4380000000001</v>
      </c>
      <c r="K22" s="424">
        <v>11898.659</v>
      </c>
      <c r="L22" s="424">
        <v>4114.8829999999998</v>
      </c>
      <c r="M22" s="86">
        <v>16013.541999999999</v>
      </c>
      <c r="N22" s="274"/>
      <c r="O22" s="569">
        <v>3928</v>
      </c>
      <c r="P22" s="424">
        <v>3947</v>
      </c>
      <c r="Q22" s="424">
        <v>7875</v>
      </c>
      <c r="R22" s="424">
        <v>3932</v>
      </c>
      <c r="S22" s="424">
        <v>11807</v>
      </c>
      <c r="T22" s="424">
        <v>3971</v>
      </c>
      <c r="U22" s="424">
        <v>15778</v>
      </c>
      <c r="V22" s="483"/>
      <c r="W22" s="569">
        <v>3930</v>
      </c>
      <c r="X22" s="424">
        <f t="shared" si="0"/>
        <v>3934</v>
      </c>
      <c r="Y22" s="424">
        <v>7864</v>
      </c>
      <c r="Z22" s="405">
        <f t="shared" si="1"/>
        <v>3928</v>
      </c>
      <c r="AA22" s="424">
        <v>11792</v>
      </c>
      <c r="AB22" s="405">
        <f t="shared" si="1"/>
        <v>3932.1370000000006</v>
      </c>
      <c r="AC22" s="86">
        <v>15724.137000000001</v>
      </c>
      <c r="AD22" s="483"/>
      <c r="AE22" s="85">
        <v>3918</v>
      </c>
      <c r="AF22" s="424">
        <f t="shared" si="2"/>
        <v>3920</v>
      </c>
      <c r="AG22" s="424">
        <v>7838</v>
      </c>
      <c r="AH22" s="424">
        <f t="shared" si="3"/>
        <v>3925</v>
      </c>
      <c r="AI22" s="424">
        <v>11763</v>
      </c>
      <c r="AJ22" s="424">
        <f t="shared" si="4"/>
        <v>3927</v>
      </c>
      <c r="AK22" s="86">
        <v>15690</v>
      </c>
      <c r="AL22" s="274"/>
      <c r="AM22" s="85">
        <v>3836</v>
      </c>
      <c r="AN22" s="424">
        <v>3744</v>
      </c>
      <c r="AO22" s="424">
        <v>7580</v>
      </c>
      <c r="AP22" s="424">
        <v>3913</v>
      </c>
      <c r="AQ22" s="424">
        <v>11493</v>
      </c>
      <c r="AR22" s="424">
        <f t="shared" si="5"/>
        <v>3916</v>
      </c>
      <c r="AS22" s="86">
        <v>15409</v>
      </c>
      <c r="AT22" s="274"/>
      <c r="AU22" s="479">
        <v>3192</v>
      </c>
    </row>
    <row r="23" spans="1:47" ht="17.25" outlineLevel="1" x14ac:dyDescent="0.4">
      <c r="A23" s="310" t="s">
        <v>234</v>
      </c>
      <c r="B23" s="302" t="s">
        <v>16</v>
      </c>
      <c r="C23" s="274"/>
      <c r="D23" s="274"/>
      <c r="E23" s="741">
        <v>0</v>
      </c>
      <c r="F23" s="274"/>
      <c r="G23" s="571">
        <v>0</v>
      </c>
      <c r="H23" s="428">
        <v>0</v>
      </c>
      <c r="I23" s="428">
        <v>0</v>
      </c>
      <c r="J23" s="428">
        <v>0</v>
      </c>
      <c r="K23" s="428">
        <v>0</v>
      </c>
      <c r="L23" s="428">
        <v>0</v>
      </c>
      <c r="M23" s="273">
        <v>0</v>
      </c>
      <c r="N23" s="274"/>
      <c r="O23" s="571">
        <v>0</v>
      </c>
      <c r="P23" s="428">
        <v>0</v>
      </c>
      <c r="Q23" s="428">
        <v>0</v>
      </c>
      <c r="R23" s="428">
        <v>0</v>
      </c>
      <c r="S23" s="428">
        <v>0</v>
      </c>
      <c r="T23" s="428">
        <v>0</v>
      </c>
      <c r="U23" s="428">
        <v>0</v>
      </c>
      <c r="V23" s="483"/>
      <c r="W23" s="571">
        <v>0</v>
      </c>
      <c r="X23" s="428">
        <v>0</v>
      </c>
      <c r="Y23" s="428">
        <v>0</v>
      </c>
      <c r="Z23" s="428">
        <f t="shared" si="1"/>
        <v>0</v>
      </c>
      <c r="AA23" s="428">
        <v>0</v>
      </c>
      <c r="AB23" s="428">
        <f t="shared" si="1"/>
        <v>0</v>
      </c>
      <c r="AC23" s="273">
        <v>0</v>
      </c>
      <c r="AD23" s="751"/>
      <c r="AE23" s="272">
        <v>0</v>
      </c>
      <c r="AF23" s="428">
        <f t="shared" si="2"/>
        <v>0</v>
      </c>
      <c r="AG23" s="428">
        <v>0</v>
      </c>
      <c r="AH23" s="428">
        <v>0</v>
      </c>
      <c r="AI23" s="428">
        <v>0</v>
      </c>
      <c r="AJ23" s="428">
        <f t="shared" si="4"/>
        <v>0</v>
      </c>
      <c r="AK23" s="273">
        <v>0</v>
      </c>
      <c r="AL23" s="274"/>
      <c r="AM23" s="272">
        <v>0</v>
      </c>
      <c r="AN23" s="428">
        <v>0</v>
      </c>
      <c r="AO23" s="428">
        <v>0</v>
      </c>
      <c r="AP23" s="428">
        <v>0</v>
      </c>
      <c r="AQ23" s="428">
        <v>0</v>
      </c>
      <c r="AR23" s="428">
        <f t="shared" si="5"/>
        <v>0</v>
      </c>
      <c r="AS23" s="273">
        <v>0</v>
      </c>
      <c r="AT23" s="274"/>
      <c r="AU23" s="480">
        <v>0</v>
      </c>
    </row>
    <row r="24" spans="1:47" x14ac:dyDescent="0.25">
      <c r="A24" s="310" t="s">
        <v>214</v>
      </c>
      <c r="B24" s="308" t="s">
        <v>17</v>
      </c>
      <c r="C24" s="274"/>
      <c r="D24" s="274"/>
      <c r="E24" s="706">
        <f>E19-SUM(E20:E23)</f>
        <v>16129.268999999997</v>
      </c>
      <c r="F24" s="274"/>
      <c r="G24" s="567">
        <f>G19-SUM(G20:G23)</f>
        <v>13654.174000000003</v>
      </c>
      <c r="H24" s="608">
        <f t="shared" ref="H24:I24" si="10">H19-SUM(H20:H23)</f>
        <v>14045.841000000004</v>
      </c>
      <c r="I24" s="608">
        <f t="shared" si="10"/>
        <v>27700.015000000007</v>
      </c>
      <c r="J24" s="608">
        <f t="shared" ref="J24:M24" si="11">J19-SUM(J20:J23)</f>
        <v>10799.144999999997</v>
      </c>
      <c r="K24" s="608">
        <f t="shared" si="11"/>
        <v>38499.159999999982</v>
      </c>
      <c r="L24" s="608">
        <f t="shared" si="11"/>
        <v>11540.307000000001</v>
      </c>
      <c r="M24" s="622">
        <f t="shared" si="11"/>
        <v>50039.467000000004</v>
      </c>
      <c r="N24" s="274"/>
      <c r="O24" s="567">
        <f>O19-SUM(O20:O23)</f>
        <v>9656</v>
      </c>
      <c r="P24" s="608">
        <f t="shared" ref="P24:Q24" si="12">P19-SUM(P20:P23)</f>
        <v>16470</v>
      </c>
      <c r="Q24" s="608">
        <f t="shared" si="12"/>
        <v>26126</v>
      </c>
      <c r="R24" s="608">
        <f t="shared" ref="R24:S24" si="13">R19-SUM(R20:R23)</f>
        <v>10364</v>
      </c>
      <c r="S24" s="608">
        <f t="shared" si="13"/>
        <v>36490</v>
      </c>
      <c r="T24" s="608">
        <f t="shared" ref="T24:U24" si="14">T19-SUM(T20:T23)</f>
        <v>10676</v>
      </c>
      <c r="U24" s="608">
        <f t="shared" si="14"/>
        <v>47166</v>
      </c>
      <c r="V24" s="483"/>
      <c r="W24" s="567">
        <v>7951</v>
      </c>
      <c r="X24" s="423">
        <f t="shared" si="0"/>
        <v>8050</v>
      </c>
      <c r="Y24" s="423">
        <v>16001</v>
      </c>
      <c r="Z24" s="406">
        <f t="shared" si="1"/>
        <v>6684</v>
      </c>
      <c r="AA24" s="423">
        <v>22685</v>
      </c>
      <c r="AB24" s="406">
        <f t="shared" si="1"/>
        <v>4606.0210000000006</v>
      </c>
      <c r="AC24" s="40">
        <v>27291.021000000001</v>
      </c>
      <c r="AD24" s="483"/>
      <c r="AE24" s="84">
        <v>18811</v>
      </c>
      <c r="AF24" s="423">
        <f t="shared" si="2"/>
        <v>18452.081999999995</v>
      </c>
      <c r="AG24" s="423">
        <v>37263.081999999995</v>
      </c>
      <c r="AH24" s="423">
        <f t="shared" si="3"/>
        <v>12973.918000000005</v>
      </c>
      <c r="AI24" s="423">
        <v>50237</v>
      </c>
      <c r="AJ24" s="423">
        <f t="shared" si="4"/>
        <v>7573</v>
      </c>
      <c r="AK24" s="40">
        <v>57810</v>
      </c>
      <c r="AL24" s="274"/>
      <c r="AM24" s="84">
        <v>7254</v>
      </c>
      <c r="AN24" s="423">
        <v>11453</v>
      </c>
      <c r="AO24" s="423">
        <v>18707</v>
      </c>
      <c r="AP24" s="423">
        <v>7091</v>
      </c>
      <c r="AQ24" s="423">
        <v>25798</v>
      </c>
      <c r="AR24" s="423">
        <f t="shared" si="5"/>
        <v>8178</v>
      </c>
      <c r="AS24" s="40">
        <v>33976</v>
      </c>
      <c r="AT24" s="274"/>
      <c r="AU24" s="477">
        <v>-1021</v>
      </c>
    </row>
    <row r="25" spans="1:47" outlineLevel="1" x14ac:dyDescent="0.25">
      <c r="A25" s="310" t="s">
        <v>217</v>
      </c>
      <c r="B25" s="302" t="s">
        <v>18</v>
      </c>
      <c r="C25" s="274"/>
      <c r="D25" s="274"/>
      <c r="E25" s="740">
        <v>218.62299999999999</v>
      </c>
      <c r="F25" s="274"/>
      <c r="G25" s="569">
        <v>261.08600000000001</v>
      </c>
      <c r="H25" s="424">
        <v>239.83799999999999</v>
      </c>
      <c r="I25" s="424">
        <v>500.92399999999998</v>
      </c>
      <c r="J25" s="424">
        <v>314.39499999999998</v>
      </c>
      <c r="K25" s="424">
        <v>815.31900000000007</v>
      </c>
      <c r="L25" s="424">
        <v>281.959</v>
      </c>
      <c r="M25" s="86">
        <v>1097.278</v>
      </c>
      <c r="N25" s="274"/>
      <c r="O25" s="569">
        <v>276</v>
      </c>
      <c r="P25" s="424">
        <v>256</v>
      </c>
      <c r="Q25" s="424">
        <v>532</v>
      </c>
      <c r="R25" s="424">
        <v>90</v>
      </c>
      <c r="S25" s="424">
        <v>622</v>
      </c>
      <c r="T25" s="424">
        <v>687</v>
      </c>
      <c r="U25" s="424">
        <v>1309</v>
      </c>
      <c r="V25" s="483"/>
      <c r="W25" s="569">
        <v>174</v>
      </c>
      <c r="X25" s="424">
        <f t="shared" si="0"/>
        <v>118</v>
      </c>
      <c r="Y25" s="424">
        <v>292</v>
      </c>
      <c r="Z25" s="408">
        <f t="shared" si="1"/>
        <v>-5</v>
      </c>
      <c r="AA25" s="424">
        <v>287</v>
      </c>
      <c r="AB25" s="408">
        <f t="shared" si="1"/>
        <v>83.370999999999981</v>
      </c>
      <c r="AC25" s="86">
        <v>370.37099999999998</v>
      </c>
      <c r="AD25" s="483"/>
      <c r="AE25" s="85">
        <v>112</v>
      </c>
      <c r="AF25" s="424">
        <f t="shared" si="2"/>
        <v>107</v>
      </c>
      <c r="AG25" s="424">
        <v>219</v>
      </c>
      <c r="AH25" s="424">
        <f t="shared" si="3"/>
        <v>462</v>
      </c>
      <c r="AI25" s="424">
        <v>681</v>
      </c>
      <c r="AJ25" s="424">
        <f t="shared" si="4"/>
        <v>604</v>
      </c>
      <c r="AK25" s="86">
        <f>824+461</f>
        <v>1285</v>
      </c>
      <c r="AL25" s="274"/>
      <c r="AM25" s="85">
        <v>131</v>
      </c>
      <c r="AN25" s="424">
        <v>97</v>
      </c>
      <c r="AO25" s="424">
        <v>228</v>
      </c>
      <c r="AP25" s="424">
        <v>177</v>
      </c>
      <c r="AQ25" s="424">
        <v>405</v>
      </c>
      <c r="AR25" s="424">
        <f t="shared" si="5"/>
        <v>253</v>
      </c>
      <c r="AS25" s="86">
        <v>658</v>
      </c>
      <c r="AT25" s="274"/>
      <c r="AU25" s="479">
        <v>111</v>
      </c>
    </row>
    <row r="26" spans="1:47" outlineLevel="1" x14ac:dyDescent="0.25">
      <c r="A26" s="310" t="s">
        <v>215</v>
      </c>
      <c r="B26" s="302" t="s">
        <v>19</v>
      </c>
      <c r="C26" s="274"/>
      <c r="D26" s="274"/>
      <c r="E26" s="740">
        <v>-0.57099999999999995</v>
      </c>
      <c r="F26" s="274"/>
      <c r="G26" s="569">
        <v>-0.66800000000000004</v>
      </c>
      <c r="H26" s="424">
        <v>-1.5109999999999999</v>
      </c>
      <c r="I26" s="424">
        <v>-2.1789999999999998</v>
      </c>
      <c r="J26" s="424">
        <v>-0.76800000000000002</v>
      </c>
      <c r="K26" s="424">
        <v>-2.9470000000000001</v>
      </c>
      <c r="L26" s="424">
        <v>-0.69</v>
      </c>
      <c r="M26" s="86">
        <v>-3.637</v>
      </c>
      <c r="N26" s="274"/>
      <c r="O26" s="569">
        <v>-3</v>
      </c>
      <c r="P26" s="424">
        <v>-9</v>
      </c>
      <c r="Q26" s="424">
        <v>-12</v>
      </c>
      <c r="R26" s="424">
        <v>-4</v>
      </c>
      <c r="S26" s="424">
        <v>-16</v>
      </c>
      <c r="T26" s="424">
        <v>-5</v>
      </c>
      <c r="U26" s="424">
        <v>-21</v>
      </c>
      <c r="V26" s="483"/>
      <c r="W26" s="569">
        <v>-5</v>
      </c>
      <c r="X26" s="424">
        <f t="shared" si="0"/>
        <v>0</v>
      </c>
      <c r="Y26" s="424">
        <v>-5</v>
      </c>
      <c r="Z26" s="408">
        <f t="shared" si="1"/>
        <v>-4</v>
      </c>
      <c r="AA26" s="424">
        <v>-9</v>
      </c>
      <c r="AB26" s="408">
        <f t="shared" si="1"/>
        <v>-9.1409999999999982</v>
      </c>
      <c r="AC26" s="86">
        <v>-18.140999999999998</v>
      </c>
      <c r="AD26" s="483"/>
      <c r="AE26" s="85">
        <v>-5</v>
      </c>
      <c r="AF26" s="424">
        <f t="shared" si="2"/>
        <v>-7</v>
      </c>
      <c r="AG26" s="424">
        <v>-12</v>
      </c>
      <c r="AH26" s="424">
        <f t="shared" si="3"/>
        <v>-7</v>
      </c>
      <c r="AI26" s="424">
        <v>-19</v>
      </c>
      <c r="AJ26" s="424">
        <f t="shared" si="4"/>
        <v>-6</v>
      </c>
      <c r="AK26" s="86">
        <v>-25</v>
      </c>
      <c r="AL26" s="274"/>
      <c r="AM26" s="85">
        <v>0</v>
      </c>
      <c r="AN26" s="424">
        <v>0</v>
      </c>
      <c r="AO26" s="424">
        <v>0</v>
      </c>
      <c r="AP26" s="424">
        <v>0</v>
      </c>
      <c r="AQ26" s="424">
        <v>0</v>
      </c>
      <c r="AR26" s="424">
        <f t="shared" si="5"/>
        <v>0</v>
      </c>
      <c r="AS26" s="86">
        <v>0</v>
      </c>
      <c r="AT26" s="274"/>
      <c r="AU26" s="479">
        <v>0</v>
      </c>
    </row>
    <row r="27" spans="1:47" outlineLevel="1" x14ac:dyDescent="0.25">
      <c r="A27" s="310" t="s">
        <v>216</v>
      </c>
      <c r="B27" s="302" t="s">
        <v>20</v>
      </c>
      <c r="C27" s="274"/>
      <c r="D27" s="274"/>
      <c r="E27" s="740">
        <v>2827.7170000000001</v>
      </c>
      <c r="F27" s="274"/>
      <c r="G27" s="569">
        <v>3984.252</v>
      </c>
      <c r="H27" s="424">
        <v>3736.1759999999999</v>
      </c>
      <c r="I27" s="424">
        <v>7720.4279999999999</v>
      </c>
      <c r="J27" s="424">
        <v>3514.5749999999998</v>
      </c>
      <c r="K27" s="424">
        <v>11235.003000000001</v>
      </c>
      <c r="L27" s="424">
        <v>3201.6460000000002</v>
      </c>
      <c r="M27" s="86">
        <v>14436.648999999999</v>
      </c>
      <c r="N27" s="274"/>
      <c r="O27" s="569">
        <v>5492</v>
      </c>
      <c r="P27" s="424">
        <v>5299</v>
      </c>
      <c r="Q27" s="424">
        <v>10791</v>
      </c>
      <c r="R27" s="424">
        <v>4925</v>
      </c>
      <c r="S27" s="424">
        <v>15716</v>
      </c>
      <c r="T27" s="424">
        <v>4409</v>
      </c>
      <c r="U27" s="424">
        <v>20125</v>
      </c>
      <c r="V27" s="483"/>
      <c r="W27" s="569">
        <v>1792</v>
      </c>
      <c r="X27" s="424">
        <f t="shared" si="0"/>
        <v>1669</v>
      </c>
      <c r="Y27" s="424">
        <v>3461</v>
      </c>
      <c r="Z27" s="408">
        <f t="shared" si="1"/>
        <v>1571</v>
      </c>
      <c r="AA27" s="424">
        <v>5032</v>
      </c>
      <c r="AB27" s="408">
        <f t="shared" si="1"/>
        <v>2548.3739999999998</v>
      </c>
      <c r="AC27" s="86">
        <v>7580.3739999999998</v>
      </c>
      <c r="AD27" s="483"/>
      <c r="AE27" s="85">
        <v>2028</v>
      </c>
      <c r="AF27" s="424">
        <f t="shared" si="2"/>
        <v>1798</v>
      </c>
      <c r="AG27" s="424">
        <v>3826</v>
      </c>
      <c r="AH27" s="424">
        <f t="shared" si="3"/>
        <v>1808</v>
      </c>
      <c r="AI27" s="424">
        <v>5634</v>
      </c>
      <c r="AJ27" s="424">
        <f t="shared" si="4"/>
        <v>1776</v>
      </c>
      <c r="AK27" s="86">
        <v>7410</v>
      </c>
      <c r="AL27" s="274"/>
      <c r="AM27" s="85">
        <v>2286</v>
      </c>
      <c r="AN27" s="424">
        <v>2076</v>
      </c>
      <c r="AO27" s="424">
        <v>4362</v>
      </c>
      <c r="AP27" s="424">
        <v>1958</v>
      </c>
      <c r="AQ27" s="424">
        <v>6320</v>
      </c>
      <c r="AR27" s="424">
        <f t="shared" si="5"/>
        <v>2261</v>
      </c>
      <c r="AS27" s="86">
        <v>8581</v>
      </c>
      <c r="AT27" s="274"/>
      <c r="AU27" s="479">
        <v>2043</v>
      </c>
    </row>
    <row r="28" spans="1:47" ht="17.25" outlineLevel="1" x14ac:dyDescent="0.4">
      <c r="A28" s="310" t="s">
        <v>218</v>
      </c>
      <c r="B28" s="302" t="s">
        <v>21</v>
      </c>
      <c r="C28" s="274"/>
      <c r="D28" s="274"/>
      <c r="E28" s="741">
        <v>1443.0039999999999</v>
      </c>
      <c r="F28" s="274"/>
      <c r="G28" s="571">
        <v>1166.075</v>
      </c>
      <c r="H28" s="428">
        <v>1057.2940000000001</v>
      </c>
      <c r="I28" s="428">
        <v>2223.3690000000001</v>
      </c>
      <c r="J28" s="428">
        <v>1572.77</v>
      </c>
      <c r="K28" s="428">
        <v>3796.1390000000001</v>
      </c>
      <c r="L28" s="428">
        <v>1761.1010000000001</v>
      </c>
      <c r="M28" s="273">
        <v>5557.24</v>
      </c>
      <c r="N28" s="274"/>
      <c r="O28" s="571">
        <v>540</v>
      </c>
      <c r="P28" s="428">
        <v>1929</v>
      </c>
      <c r="Q28" s="428">
        <v>2469</v>
      </c>
      <c r="R28" s="428">
        <v>1451</v>
      </c>
      <c r="S28" s="428">
        <v>3920</v>
      </c>
      <c r="T28" s="428">
        <v>1042</v>
      </c>
      <c r="U28" s="428">
        <v>4962</v>
      </c>
      <c r="V28" s="483"/>
      <c r="W28" s="571">
        <v>622</v>
      </c>
      <c r="X28" s="428">
        <f t="shared" si="0"/>
        <v>737</v>
      </c>
      <c r="Y28" s="428">
        <v>1359</v>
      </c>
      <c r="Z28" s="410">
        <f t="shared" si="1"/>
        <v>865</v>
      </c>
      <c r="AA28" s="428">
        <v>2224</v>
      </c>
      <c r="AB28" s="410">
        <f t="shared" si="1"/>
        <v>638.71</v>
      </c>
      <c r="AC28" s="273">
        <v>2862.71</v>
      </c>
      <c r="AD28" s="483"/>
      <c r="AE28" s="272">
        <v>2477</v>
      </c>
      <c r="AF28" s="428">
        <f t="shared" si="2"/>
        <v>2566</v>
      </c>
      <c r="AG28" s="428">
        <v>5043</v>
      </c>
      <c r="AH28" s="428">
        <f t="shared" si="3"/>
        <v>1776</v>
      </c>
      <c r="AI28" s="428">
        <v>6819</v>
      </c>
      <c r="AJ28" s="428">
        <f t="shared" si="4"/>
        <v>-292</v>
      </c>
      <c r="AK28" s="273">
        <v>6527</v>
      </c>
      <c r="AL28" s="274"/>
      <c r="AM28" s="272">
        <v>-707</v>
      </c>
      <c r="AN28" s="428">
        <v>2172</v>
      </c>
      <c r="AO28" s="428">
        <v>1465</v>
      </c>
      <c r="AP28" s="428">
        <v>700</v>
      </c>
      <c r="AQ28" s="428">
        <v>2165</v>
      </c>
      <c r="AR28" s="428">
        <f t="shared" si="5"/>
        <v>1394</v>
      </c>
      <c r="AS28" s="273">
        <v>3559</v>
      </c>
      <c r="AT28" s="274"/>
      <c r="AU28" s="480">
        <v>-535</v>
      </c>
    </row>
    <row r="29" spans="1:47" x14ac:dyDescent="0.25">
      <c r="A29" s="310" t="s">
        <v>219</v>
      </c>
      <c r="B29" s="308" t="s">
        <v>24</v>
      </c>
      <c r="C29" s="274"/>
      <c r="D29" s="274"/>
      <c r="E29" s="706">
        <f>E24-SUM(E25:E28)</f>
        <v>11640.495999999996</v>
      </c>
      <c r="F29" s="274"/>
      <c r="G29" s="567">
        <f>G24-SUM(G25:G28)</f>
        <v>8243.4290000000037</v>
      </c>
      <c r="H29" s="608">
        <f t="shared" ref="H29:M29" si="15">H24-SUM(H25:H28)</f>
        <v>9014.0440000000053</v>
      </c>
      <c r="I29" s="608">
        <f t="shared" si="15"/>
        <v>17257.473000000005</v>
      </c>
      <c r="J29" s="608">
        <f t="shared" si="15"/>
        <v>5398.172999999997</v>
      </c>
      <c r="K29" s="608">
        <f t="shared" si="15"/>
        <v>22655.645999999982</v>
      </c>
      <c r="L29" s="608">
        <f t="shared" si="15"/>
        <v>6296.2910000000011</v>
      </c>
      <c r="M29" s="622">
        <f t="shared" si="15"/>
        <v>28951.937000000005</v>
      </c>
      <c r="N29" s="274"/>
      <c r="O29" s="567">
        <f>O24-SUM(O25:O28)</f>
        <v>3351</v>
      </c>
      <c r="P29" s="608">
        <f t="shared" ref="P29:Q29" si="16">P24-SUM(P25:P28)</f>
        <v>8995</v>
      </c>
      <c r="Q29" s="608">
        <f t="shared" si="16"/>
        <v>12346</v>
      </c>
      <c r="R29" s="608">
        <f t="shared" ref="R29:S29" si="17">R24-SUM(R25:R28)</f>
        <v>3902</v>
      </c>
      <c r="S29" s="608">
        <f t="shared" si="17"/>
        <v>16248</v>
      </c>
      <c r="T29" s="608">
        <f t="shared" ref="T29:U29" si="18">T24-SUM(T25:T28)</f>
        <v>4543</v>
      </c>
      <c r="U29" s="608">
        <f t="shared" si="18"/>
        <v>20791</v>
      </c>
      <c r="V29" s="483"/>
      <c r="W29" s="567">
        <v>5368</v>
      </c>
      <c r="X29" s="423">
        <f t="shared" si="0"/>
        <v>5526</v>
      </c>
      <c r="Y29" s="423">
        <v>10894</v>
      </c>
      <c r="Z29" s="406">
        <f t="shared" si="1"/>
        <v>4257</v>
      </c>
      <c r="AA29" s="423">
        <v>15151</v>
      </c>
      <c r="AB29" s="406">
        <f t="shared" si="1"/>
        <v>1344.7069999999985</v>
      </c>
      <c r="AC29" s="40">
        <v>16495.706999999999</v>
      </c>
      <c r="AD29" s="483"/>
      <c r="AE29" s="84">
        <v>14199</v>
      </c>
      <c r="AF29" s="423">
        <f t="shared" si="2"/>
        <v>13988</v>
      </c>
      <c r="AG29" s="423">
        <v>28187</v>
      </c>
      <c r="AH29" s="423">
        <f t="shared" si="3"/>
        <v>8935</v>
      </c>
      <c r="AI29" s="423">
        <v>37122</v>
      </c>
      <c r="AJ29" s="423">
        <f t="shared" si="4"/>
        <v>5491</v>
      </c>
      <c r="AK29" s="40">
        <f>AK24-SUM(AK25:AK28)</f>
        <v>42613</v>
      </c>
      <c r="AL29" s="274"/>
      <c r="AM29" s="84">
        <v>5544</v>
      </c>
      <c r="AN29" s="423">
        <v>7108</v>
      </c>
      <c r="AO29" s="423">
        <v>12652</v>
      </c>
      <c r="AP29" s="423">
        <v>4256</v>
      </c>
      <c r="AQ29" s="423">
        <v>16908</v>
      </c>
      <c r="AR29" s="423">
        <f t="shared" si="5"/>
        <v>4270</v>
      </c>
      <c r="AS29" s="40">
        <v>21178</v>
      </c>
      <c r="AT29" s="274"/>
      <c r="AU29" s="477">
        <v>-2640</v>
      </c>
    </row>
    <row r="30" spans="1:47" outlineLevel="1" x14ac:dyDescent="0.25">
      <c r="B30" s="307" t="s">
        <v>54</v>
      </c>
      <c r="C30" s="274"/>
      <c r="D30" s="274"/>
      <c r="E30" s="740"/>
      <c r="F30" s="274"/>
      <c r="G30" s="569"/>
      <c r="H30" s="423"/>
      <c r="I30" s="423"/>
      <c r="J30" s="423"/>
      <c r="K30" s="423"/>
      <c r="L30" s="423"/>
      <c r="M30" s="40"/>
      <c r="N30" s="274"/>
      <c r="O30" s="569"/>
      <c r="P30" s="423"/>
      <c r="Q30" s="423"/>
      <c r="R30" s="423"/>
      <c r="S30" s="423"/>
      <c r="T30" s="423"/>
      <c r="U30" s="423"/>
      <c r="V30" s="483"/>
      <c r="W30" s="569"/>
      <c r="X30" s="423"/>
      <c r="Y30" s="423"/>
      <c r="Z30" s="408"/>
      <c r="AA30" s="423"/>
      <c r="AB30" s="408"/>
      <c r="AC30" s="40"/>
      <c r="AD30" s="483"/>
      <c r="AE30" s="84"/>
      <c r="AF30" s="423">
        <f t="shared" si="2"/>
        <v>0</v>
      </c>
      <c r="AG30" s="423">
        <v>0</v>
      </c>
      <c r="AH30" s="423"/>
      <c r="AI30" s="423"/>
      <c r="AJ30" s="423">
        <f t="shared" si="4"/>
        <v>0</v>
      </c>
      <c r="AK30" s="40"/>
      <c r="AL30" s="274"/>
      <c r="AM30" s="84"/>
      <c r="AN30" s="423">
        <v>0</v>
      </c>
      <c r="AO30" s="423">
        <v>0</v>
      </c>
      <c r="AP30" s="423"/>
      <c r="AQ30" s="423"/>
      <c r="AR30" s="423"/>
      <c r="AS30" s="40"/>
      <c r="AT30" s="274"/>
      <c r="AU30" s="477"/>
    </row>
    <row r="31" spans="1:47" outlineLevel="1" x14ac:dyDescent="0.25">
      <c r="A31" s="310" t="s">
        <v>21</v>
      </c>
      <c r="B31" s="302" t="s">
        <v>21</v>
      </c>
      <c r="C31" s="274"/>
      <c r="D31" s="274"/>
      <c r="E31" s="740">
        <f>E28</f>
        <v>1443.0039999999999</v>
      </c>
      <c r="F31" s="274"/>
      <c r="G31" s="569">
        <f>G28</f>
        <v>1166.075</v>
      </c>
      <c r="H31" s="609">
        <v>1929</v>
      </c>
      <c r="I31" s="609">
        <f t="shared" ref="I31" si="19">I28</f>
        <v>2223.3690000000001</v>
      </c>
      <c r="J31" s="609">
        <f>J28</f>
        <v>1572.77</v>
      </c>
      <c r="K31" s="609">
        <f t="shared" ref="K31:M31" si="20">K28</f>
        <v>3796.1390000000001</v>
      </c>
      <c r="L31" s="609">
        <f t="shared" si="20"/>
        <v>1761.1010000000001</v>
      </c>
      <c r="M31" s="623">
        <f t="shared" si="20"/>
        <v>5557.24</v>
      </c>
      <c r="N31" s="274"/>
      <c r="O31" s="569">
        <f>O28</f>
        <v>540</v>
      </c>
      <c r="P31" s="609">
        <v>1929</v>
      </c>
      <c r="Q31" s="609">
        <f t="shared" ref="Q31:S31" si="21">Q28</f>
        <v>2469</v>
      </c>
      <c r="R31" s="609">
        <f>R28</f>
        <v>1451</v>
      </c>
      <c r="S31" s="609">
        <f t="shared" si="21"/>
        <v>3920</v>
      </c>
      <c r="T31" s="609">
        <f t="shared" ref="T31:U31" si="22">T28</f>
        <v>1042</v>
      </c>
      <c r="U31" s="609">
        <f t="shared" si="22"/>
        <v>4962</v>
      </c>
      <c r="V31" s="483"/>
      <c r="W31" s="569">
        <v>622</v>
      </c>
      <c r="X31" s="424">
        <f t="shared" si="0"/>
        <v>737</v>
      </c>
      <c r="Y31" s="424">
        <v>1359</v>
      </c>
      <c r="Z31" s="408">
        <f t="shared" ref="Z31:AB36" si="23">AA31-Y31</f>
        <v>865</v>
      </c>
      <c r="AA31" s="424">
        <v>2224</v>
      </c>
      <c r="AB31" s="408">
        <f t="shared" si="23"/>
        <v>638.71</v>
      </c>
      <c r="AC31" s="86">
        <v>2862.71</v>
      </c>
      <c r="AD31" s="483"/>
      <c r="AE31" s="85">
        <v>2477</v>
      </c>
      <c r="AF31" s="424">
        <f t="shared" si="2"/>
        <v>2566</v>
      </c>
      <c r="AG31" s="424">
        <v>5043</v>
      </c>
      <c r="AH31" s="424">
        <f t="shared" si="3"/>
        <v>1776</v>
      </c>
      <c r="AI31" s="424">
        <v>6819</v>
      </c>
      <c r="AJ31" s="424">
        <f t="shared" si="4"/>
        <v>-292</v>
      </c>
      <c r="AK31" s="86">
        <v>6527</v>
      </c>
      <c r="AL31" s="274"/>
      <c r="AM31" s="85">
        <v>-707</v>
      </c>
      <c r="AN31" s="424">
        <v>2172</v>
      </c>
      <c r="AO31" s="424">
        <v>1465</v>
      </c>
      <c r="AP31" s="424">
        <v>700</v>
      </c>
      <c r="AQ31" s="424">
        <v>2165</v>
      </c>
      <c r="AR31" s="424">
        <f t="shared" si="5"/>
        <v>1394</v>
      </c>
      <c r="AS31" s="86">
        <v>3559</v>
      </c>
      <c r="AT31" s="274"/>
      <c r="AU31" s="479">
        <v>-535</v>
      </c>
    </row>
    <row r="32" spans="1:47" outlineLevel="1" x14ac:dyDescent="0.25">
      <c r="A32" s="310" t="s">
        <v>195</v>
      </c>
      <c r="B32" s="302" t="s">
        <v>19</v>
      </c>
      <c r="C32" s="274"/>
      <c r="D32" s="274"/>
      <c r="E32" s="740">
        <f>E26</f>
        <v>-0.57099999999999995</v>
      </c>
      <c r="F32" s="274"/>
      <c r="G32" s="569">
        <f>G26</f>
        <v>-0.66800000000000004</v>
      </c>
      <c r="H32" s="609">
        <v>-9</v>
      </c>
      <c r="I32" s="609">
        <f t="shared" ref="I32" si="24">I26</f>
        <v>-2.1789999999999998</v>
      </c>
      <c r="J32" s="609">
        <f>J26</f>
        <v>-0.76800000000000002</v>
      </c>
      <c r="K32" s="609">
        <f t="shared" ref="K32:M32" si="25">K26</f>
        <v>-2.9470000000000001</v>
      </c>
      <c r="L32" s="609">
        <f t="shared" si="25"/>
        <v>-0.69</v>
      </c>
      <c r="M32" s="623">
        <f t="shared" si="25"/>
        <v>-3.637</v>
      </c>
      <c r="N32" s="274"/>
      <c r="O32" s="569">
        <f>O26</f>
        <v>-3</v>
      </c>
      <c r="P32" s="609">
        <v>-9</v>
      </c>
      <c r="Q32" s="609">
        <f t="shared" ref="Q32:S32" si="26">Q26</f>
        <v>-12</v>
      </c>
      <c r="R32" s="609">
        <f>R26</f>
        <v>-4</v>
      </c>
      <c r="S32" s="609">
        <f t="shared" si="26"/>
        <v>-16</v>
      </c>
      <c r="T32" s="609">
        <f t="shared" ref="T32:U32" si="27">T26</f>
        <v>-5</v>
      </c>
      <c r="U32" s="609">
        <f t="shared" si="27"/>
        <v>-21</v>
      </c>
      <c r="V32" s="483"/>
      <c r="W32" s="569">
        <v>-2</v>
      </c>
      <c r="X32" s="424">
        <f t="shared" si="0"/>
        <v>-3</v>
      </c>
      <c r="Y32" s="424">
        <v>-5</v>
      </c>
      <c r="Z32" s="408">
        <f t="shared" si="23"/>
        <v>-4</v>
      </c>
      <c r="AA32" s="424">
        <v>-9</v>
      </c>
      <c r="AB32" s="408">
        <f t="shared" si="23"/>
        <v>-9.1409999999999982</v>
      </c>
      <c r="AC32" s="86">
        <v>-18.140999999999998</v>
      </c>
      <c r="AD32" s="483"/>
      <c r="AE32" s="85">
        <v>-5</v>
      </c>
      <c r="AF32" s="424">
        <f t="shared" si="2"/>
        <v>-7</v>
      </c>
      <c r="AG32" s="424">
        <v>-12</v>
      </c>
      <c r="AH32" s="424">
        <f t="shared" si="3"/>
        <v>-7</v>
      </c>
      <c r="AI32" s="424">
        <v>-19</v>
      </c>
      <c r="AJ32" s="424">
        <f t="shared" si="4"/>
        <v>-6</v>
      </c>
      <c r="AK32" s="86">
        <v>-25</v>
      </c>
      <c r="AL32" s="274"/>
      <c r="AM32" s="85">
        <v>0</v>
      </c>
      <c r="AN32" s="424">
        <v>0</v>
      </c>
      <c r="AO32" s="424">
        <v>0</v>
      </c>
      <c r="AP32" s="424">
        <v>0</v>
      </c>
      <c r="AQ32" s="424">
        <v>0</v>
      </c>
      <c r="AR32" s="424">
        <f t="shared" si="5"/>
        <v>0</v>
      </c>
      <c r="AS32" s="86">
        <v>0</v>
      </c>
      <c r="AT32" s="274"/>
      <c r="AU32" s="479">
        <v>0</v>
      </c>
    </row>
    <row r="33" spans="1:47" outlineLevel="1" x14ac:dyDescent="0.25">
      <c r="A33" s="310" t="s">
        <v>95</v>
      </c>
      <c r="B33" s="302" t="s">
        <v>20</v>
      </c>
      <c r="C33" s="274"/>
      <c r="D33" s="274"/>
      <c r="E33" s="740">
        <f>E27</f>
        <v>2827.7170000000001</v>
      </c>
      <c r="F33" s="274"/>
      <c r="G33" s="569">
        <f>G27</f>
        <v>3984.252</v>
      </c>
      <c r="H33" s="609">
        <v>5299</v>
      </c>
      <c r="I33" s="609">
        <f t="shared" ref="I33" si="28">I27</f>
        <v>7720.4279999999999</v>
      </c>
      <c r="J33" s="609">
        <f>J27</f>
        <v>3514.5749999999998</v>
      </c>
      <c r="K33" s="609">
        <f t="shared" ref="K33:M33" si="29">K27</f>
        <v>11235.003000000001</v>
      </c>
      <c r="L33" s="609">
        <f t="shared" si="29"/>
        <v>3201.6460000000002</v>
      </c>
      <c r="M33" s="623">
        <f t="shared" si="29"/>
        <v>14436.648999999999</v>
      </c>
      <c r="N33" s="274"/>
      <c r="O33" s="569">
        <f>O27</f>
        <v>5492</v>
      </c>
      <c r="P33" s="609">
        <v>5299</v>
      </c>
      <c r="Q33" s="609">
        <f t="shared" ref="Q33:S33" si="30">Q27</f>
        <v>10791</v>
      </c>
      <c r="R33" s="609">
        <f>R27</f>
        <v>4925</v>
      </c>
      <c r="S33" s="609">
        <f t="shared" si="30"/>
        <v>15716</v>
      </c>
      <c r="T33" s="609">
        <f t="shared" ref="T33:U33" si="31">T27</f>
        <v>4409</v>
      </c>
      <c r="U33" s="609">
        <f t="shared" si="31"/>
        <v>20125</v>
      </c>
      <c r="V33" s="483"/>
      <c r="W33" s="569">
        <v>1792</v>
      </c>
      <c r="X33" s="424">
        <f t="shared" si="0"/>
        <v>1669</v>
      </c>
      <c r="Y33" s="424">
        <v>3461</v>
      </c>
      <c r="Z33" s="408">
        <f t="shared" si="23"/>
        <v>1571</v>
      </c>
      <c r="AA33" s="424">
        <v>5032</v>
      </c>
      <c r="AB33" s="408">
        <f t="shared" si="23"/>
        <v>2548.3739999999998</v>
      </c>
      <c r="AC33" s="86">
        <v>7580.3739999999998</v>
      </c>
      <c r="AD33" s="483"/>
      <c r="AE33" s="85">
        <v>2028</v>
      </c>
      <c r="AF33" s="424">
        <f t="shared" si="2"/>
        <v>1798</v>
      </c>
      <c r="AG33" s="424">
        <v>3826</v>
      </c>
      <c r="AH33" s="424">
        <f t="shared" si="3"/>
        <v>1808</v>
      </c>
      <c r="AI33" s="424">
        <v>5634</v>
      </c>
      <c r="AJ33" s="424">
        <f t="shared" si="4"/>
        <v>1776</v>
      </c>
      <c r="AK33" s="86">
        <v>7410</v>
      </c>
      <c r="AL33" s="274"/>
      <c r="AM33" s="85">
        <v>2286</v>
      </c>
      <c r="AN33" s="424">
        <v>2076</v>
      </c>
      <c r="AO33" s="424">
        <v>4362</v>
      </c>
      <c r="AP33" s="424">
        <v>1958</v>
      </c>
      <c r="AQ33" s="424">
        <v>6320</v>
      </c>
      <c r="AR33" s="424">
        <f t="shared" si="5"/>
        <v>2261</v>
      </c>
      <c r="AS33" s="86">
        <v>8581</v>
      </c>
      <c r="AT33" s="274"/>
      <c r="AU33" s="479">
        <v>2043</v>
      </c>
    </row>
    <row r="34" spans="1:47" outlineLevel="1" x14ac:dyDescent="0.25">
      <c r="A34" s="310" t="s">
        <v>96</v>
      </c>
      <c r="B34" s="302" t="s">
        <v>55</v>
      </c>
      <c r="C34" s="274"/>
      <c r="D34" s="274"/>
      <c r="E34" s="742">
        <v>5071</v>
      </c>
      <c r="F34" s="274"/>
      <c r="G34" s="624">
        <v>5050</v>
      </c>
      <c r="H34" s="586">
        <v>5050</v>
      </c>
      <c r="I34" s="586">
        <v>10100</v>
      </c>
      <c r="J34" s="586">
        <v>5056</v>
      </c>
      <c r="K34" s="586">
        <v>15156</v>
      </c>
      <c r="L34" s="586">
        <v>5200</v>
      </c>
      <c r="M34" s="595">
        <v>20356</v>
      </c>
      <c r="N34" s="274"/>
      <c r="O34" s="569">
        <v>5237</v>
      </c>
      <c r="P34" s="424">
        <v>5211</v>
      </c>
      <c r="Q34" s="424">
        <v>10448</v>
      </c>
      <c r="R34" s="424">
        <v>5203</v>
      </c>
      <c r="S34" s="424">
        <v>15651</v>
      </c>
      <c r="T34" s="424">
        <f>U34-S34</f>
        <v>5144</v>
      </c>
      <c r="U34" s="424">
        <v>20795</v>
      </c>
      <c r="V34" s="483"/>
      <c r="W34" s="569">
        <v>5636</v>
      </c>
      <c r="X34" s="424">
        <f t="shared" si="0"/>
        <v>5756</v>
      </c>
      <c r="Y34" s="424">
        <v>11392</v>
      </c>
      <c r="Z34" s="408">
        <f t="shared" si="23"/>
        <v>5875</v>
      </c>
      <c r="AA34" s="424">
        <v>17267</v>
      </c>
      <c r="AB34" s="408">
        <f t="shared" si="23"/>
        <v>5392.4989999999998</v>
      </c>
      <c r="AC34" s="86">
        <v>22659.499</v>
      </c>
      <c r="AD34" s="483"/>
      <c r="AE34" s="85">
        <v>5254</v>
      </c>
      <c r="AF34" s="424">
        <f t="shared" si="2"/>
        <v>5390</v>
      </c>
      <c r="AG34" s="424">
        <f>10768-124</f>
        <v>10644</v>
      </c>
      <c r="AH34" s="424">
        <f t="shared" si="3"/>
        <v>5517</v>
      </c>
      <c r="AI34" s="424">
        <v>16161</v>
      </c>
      <c r="AJ34" s="424">
        <f t="shared" si="4"/>
        <v>5590</v>
      </c>
      <c r="AK34" s="86">
        <f>21993-242</f>
        <v>21751</v>
      </c>
      <c r="AL34" s="274"/>
      <c r="AM34" s="85">
        <v>4890</v>
      </c>
      <c r="AN34" s="424">
        <v>4846</v>
      </c>
      <c r="AO34" s="424">
        <v>9736</v>
      </c>
      <c r="AP34" s="424">
        <v>5082</v>
      </c>
      <c r="AQ34" s="424">
        <v>14818</v>
      </c>
      <c r="AR34" s="424">
        <f t="shared" si="5"/>
        <v>5181</v>
      </c>
      <c r="AS34" s="86">
        <v>19999</v>
      </c>
      <c r="AT34" s="274"/>
      <c r="AU34" s="479">
        <v>5515</v>
      </c>
    </row>
    <row r="35" spans="1:47" outlineLevel="1" x14ac:dyDescent="0.25">
      <c r="A35" s="310" t="s">
        <v>220</v>
      </c>
      <c r="B35" s="302" t="s">
        <v>56</v>
      </c>
      <c r="C35" s="274"/>
      <c r="D35" s="274"/>
      <c r="E35" s="743">
        <v>196</v>
      </c>
      <c r="F35" s="274"/>
      <c r="G35" s="628">
        <v>198</v>
      </c>
      <c r="H35" s="634">
        <v>198</v>
      </c>
      <c r="I35" s="634">
        <v>396</v>
      </c>
      <c r="J35" s="634">
        <v>197</v>
      </c>
      <c r="K35" s="634">
        <v>593</v>
      </c>
      <c r="L35" s="634">
        <v>196</v>
      </c>
      <c r="M35" s="635">
        <v>789</v>
      </c>
      <c r="N35" s="274"/>
      <c r="O35" s="570">
        <v>201</v>
      </c>
      <c r="P35" s="425">
        <v>200</v>
      </c>
      <c r="Q35" s="425">
        <v>401</v>
      </c>
      <c r="R35" s="425">
        <v>199</v>
      </c>
      <c r="S35" s="425">
        <v>600</v>
      </c>
      <c r="T35" s="425">
        <f>U35-S35</f>
        <v>199</v>
      </c>
      <c r="U35" s="425">
        <v>799</v>
      </c>
      <c r="V35" s="483"/>
      <c r="W35" s="570">
        <v>57</v>
      </c>
      <c r="X35" s="425">
        <f t="shared" si="0"/>
        <v>57</v>
      </c>
      <c r="Y35" s="425">
        <v>114</v>
      </c>
      <c r="Z35" s="409">
        <f t="shared" si="23"/>
        <v>55</v>
      </c>
      <c r="AA35" s="425">
        <v>169</v>
      </c>
      <c r="AB35" s="409">
        <f t="shared" si="23"/>
        <v>103.50099999999998</v>
      </c>
      <c r="AC35" s="193">
        <v>272.50099999999998</v>
      </c>
      <c r="AD35" s="483"/>
      <c r="AE35" s="198">
        <v>63</v>
      </c>
      <c r="AF35" s="425">
        <f t="shared" si="2"/>
        <v>61</v>
      </c>
      <c r="AG35" s="425">
        <v>124</v>
      </c>
      <c r="AH35" s="425">
        <f t="shared" si="3"/>
        <v>60</v>
      </c>
      <c r="AI35" s="425">
        <v>184</v>
      </c>
      <c r="AJ35" s="425">
        <f t="shared" si="4"/>
        <v>58</v>
      </c>
      <c r="AK35" s="193">
        <v>242</v>
      </c>
      <c r="AL35" s="274"/>
      <c r="AM35" s="198">
        <v>77</v>
      </c>
      <c r="AN35" s="425">
        <v>71</v>
      </c>
      <c r="AO35" s="425">
        <v>148</v>
      </c>
      <c r="AP35" s="425">
        <v>67</v>
      </c>
      <c r="AQ35" s="425">
        <v>215</v>
      </c>
      <c r="AR35" s="425">
        <f t="shared" si="5"/>
        <v>65</v>
      </c>
      <c r="AS35" s="193">
        <v>280</v>
      </c>
      <c r="AT35" s="274"/>
      <c r="AU35" s="481">
        <v>74</v>
      </c>
    </row>
    <row r="36" spans="1:47" x14ac:dyDescent="0.25">
      <c r="A36" s="310" t="s">
        <v>57</v>
      </c>
      <c r="B36" s="308" t="s">
        <v>57</v>
      </c>
      <c r="C36" s="274"/>
      <c r="D36" s="274"/>
      <c r="E36" s="705">
        <f>SUM(E29:E35)</f>
        <v>21177.645999999997</v>
      </c>
      <c r="F36" s="274"/>
      <c r="G36" s="567">
        <f>SUM(G29:G35)</f>
        <v>18641.088000000003</v>
      </c>
      <c r="H36" s="608">
        <f t="shared" ref="H36:M36" si="32">SUM(H29:H35)</f>
        <v>21481.044000000005</v>
      </c>
      <c r="I36" s="608">
        <f t="shared" si="32"/>
        <v>37695.091</v>
      </c>
      <c r="J36" s="608">
        <f t="shared" si="32"/>
        <v>15737.749999999996</v>
      </c>
      <c r="K36" s="608">
        <f t="shared" si="32"/>
        <v>53432.840999999986</v>
      </c>
      <c r="L36" s="608">
        <f t="shared" si="32"/>
        <v>16654.348000000002</v>
      </c>
      <c r="M36" s="622">
        <f t="shared" si="32"/>
        <v>70087.188999999998</v>
      </c>
      <c r="N36" s="274"/>
      <c r="O36" s="567">
        <f>SUM(O29:O35)</f>
        <v>14818</v>
      </c>
      <c r="P36" s="608">
        <f t="shared" ref="P36:Q36" si="33">SUM(P29:P35)</f>
        <v>21625</v>
      </c>
      <c r="Q36" s="608">
        <f t="shared" si="33"/>
        <v>36443</v>
      </c>
      <c r="R36" s="608">
        <f t="shared" ref="R36:S36" si="34">SUM(R29:R35)</f>
        <v>15676</v>
      </c>
      <c r="S36" s="608">
        <f t="shared" si="34"/>
        <v>52119</v>
      </c>
      <c r="T36" s="608">
        <f t="shared" ref="T36:U36" si="35">SUM(T29:T35)</f>
        <v>15332</v>
      </c>
      <c r="U36" s="608">
        <f t="shared" si="35"/>
        <v>67451</v>
      </c>
      <c r="V36" s="483"/>
      <c r="W36" s="567">
        <v>13473</v>
      </c>
      <c r="X36" s="423">
        <f t="shared" si="0"/>
        <v>13742</v>
      </c>
      <c r="Y36" s="423">
        <v>27215</v>
      </c>
      <c r="Z36" s="406">
        <f t="shared" si="23"/>
        <v>12619</v>
      </c>
      <c r="AA36" s="423">
        <v>39834</v>
      </c>
      <c r="AB36" s="406">
        <f t="shared" si="23"/>
        <v>10018.942999999999</v>
      </c>
      <c r="AC36" s="40">
        <v>49852.942999999999</v>
      </c>
      <c r="AD36" s="483"/>
      <c r="AE36" s="84">
        <v>24016</v>
      </c>
      <c r="AF36" s="423">
        <f t="shared" si="2"/>
        <v>23796</v>
      </c>
      <c r="AG36" s="423">
        <v>47812</v>
      </c>
      <c r="AH36" s="423">
        <f t="shared" si="3"/>
        <v>18089</v>
      </c>
      <c r="AI36" s="423">
        <v>65901</v>
      </c>
      <c r="AJ36" s="423">
        <f t="shared" si="4"/>
        <v>12617</v>
      </c>
      <c r="AK36" s="40">
        <v>78518</v>
      </c>
      <c r="AL36" s="274"/>
      <c r="AM36" s="84">
        <v>12090</v>
      </c>
      <c r="AN36" s="423">
        <v>16273</v>
      </c>
      <c r="AO36" s="423">
        <v>28363</v>
      </c>
      <c r="AP36" s="423">
        <v>12063</v>
      </c>
      <c r="AQ36" s="423">
        <v>40426</v>
      </c>
      <c r="AR36" s="423">
        <f t="shared" si="5"/>
        <v>13171</v>
      </c>
      <c r="AS36" s="40">
        <v>53597</v>
      </c>
      <c r="AT36" s="274"/>
      <c r="AU36" s="477">
        <v>4457</v>
      </c>
    </row>
    <row r="37" spans="1:47" outlineLevel="1" x14ac:dyDescent="0.25">
      <c r="A37" s="310" t="s">
        <v>233</v>
      </c>
      <c r="B37" s="302" t="s">
        <v>58</v>
      </c>
      <c r="C37" s="274"/>
      <c r="D37" s="274"/>
      <c r="E37" s="742"/>
      <c r="F37" s="274"/>
      <c r="G37" s="569"/>
      <c r="H37" s="424"/>
      <c r="I37" s="424"/>
      <c r="J37" s="424"/>
      <c r="K37" s="424"/>
      <c r="L37" s="424"/>
      <c r="M37" s="86"/>
      <c r="N37" s="274"/>
      <c r="O37" s="569"/>
      <c r="P37" s="424"/>
      <c r="Q37" s="424"/>
      <c r="R37" s="424"/>
      <c r="S37" s="424"/>
      <c r="T37" s="424"/>
      <c r="U37" s="424"/>
      <c r="V37" s="483"/>
      <c r="W37" s="569"/>
      <c r="X37" s="424"/>
      <c r="Y37" s="424"/>
      <c r="Z37" s="408"/>
      <c r="AA37" s="424"/>
      <c r="AB37" s="408"/>
      <c r="AC37" s="86"/>
      <c r="AD37" s="483"/>
      <c r="AE37" s="85">
        <v>0</v>
      </c>
      <c r="AF37" s="424">
        <f t="shared" si="2"/>
        <v>0</v>
      </c>
      <c r="AG37" s="424"/>
      <c r="AH37" s="424"/>
      <c r="AI37" s="424"/>
      <c r="AJ37" s="424">
        <f t="shared" si="4"/>
        <v>0</v>
      </c>
      <c r="AK37" s="86"/>
      <c r="AL37" s="274"/>
      <c r="AM37" s="85">
        <v>0</v>
      </c>
      <c r="AN37" s="424">
        <v>0</v>
      </c>
      <c r="AO37" s="424">
        <v>0</v>
      </c>
      <c r="AP37" s="424">
        <v>0</v>
      </c>
      <c r="AQ37" s="424">
        <v>0</v>
      </c>
      <c r="AR37" s="424">
        <f t="shared" si="5"/>
        <v>0</v>
      </c>
      <c r="AS37" s="86">
        <v>0</v>
      </c>
      <c r="AT37" s="274"/>
      <c r="AU37" s="479">
        <v>0</v>
      </c>
    </row>
    <row r="38" spans="1:47" outlineLevel="1" x14ac:dyDescent="0.25">
      <c r="A38" s="310" t="s">
        <v>59</v>
      </c>
      <c r="B38" s="302" t="s">
        <v>59</v>
      </c>
      <c r="C38" s="274"/>
      <c r="D38" s="274"/>
      <c r="E38" s="742">
        <v>999</v>
      </c>
      <c r="F38" s="274"/>
      <c r="G38" s="624">
        <v>1346</v>
      </c>
      <c r="H38" s="542">
        <f>I38-G38</f>
        <v>1368</v>
      </c>
      <c r="I38" s="586">
        <v>2714</v>
      </c>
      <c r="J38" s="542">
        <f>K38-I38</f>
        <v>1375</v>
      </c>
      <c r="K38" s="586">
        <v>4089</v>
      </c>
      <c r="L38" s="542">
        <f>M38-K38</f>
        <v>1333</v>
      </c>
      <c r="M38" s="595">
        <v>5422</v>
      </c>
      <c r="N38" s="274"/>
      <c r="O38" s="569">
        <v>1429</v>
      </c>
      <c r="P38" s="424">
        <v>1419</v>
      </c>
      <c r="Q38" s="424">
        <v>2848</v>
      </c>
      <c r="R38" s="424">
        <v>1504</v>
      </c>
      <c r="S38" s="424">
        <v>4352</v>
      </c>
      <c r="T38" s="424">
        <f>U38-S38</f>
        <v>1331</v>
      </c>
      <c r="U38" s="424">
        <v>5683</v>
      </c>
      <c r="V38" s="483"/>
      <c r="W38" s="569">
        <v>664</v>
      </c>
      <c r="X38" s="424">
        <f t="shared" si="0"/>
        <v>669</v>
      </c>
      <c r="Y38" s="424">
        <v>1333</v>
      </c>
      <c r="Z38" s="408">
        <f t="shared" ref="Z38:AB40" si="36">AA38-Y38</f>
        <v>736</v>
      </c>
      <c r="AA38" s="424">
        <v>2069</v>
      </c>
      <c r="AB38" s="408">
        <f t="shared" si="36"/>
        <v>950</v>
      </c>
      <c r="AC38" s="86">
        <v>3019</v>
      </c>
      <c r="AD38" s="483"/>
      <c r="AE38" s="85">
        <v>635</v>
      </c>
      <c r="AF38" s="424">
        <f t="shared" si="2"/>
        <v>633</v>
      </c>
      <c r="AG38" s="424">
        <v>1268</v>
      </c>
      <c r="AH38" s="424">
        <f t="shared" si="3"/>
        <v>621</v>
      </c>
      <c r="AI38" s="424">
        <v>1889</v>
      </c>
      <c r="AJ38" s="424">
        <f t="shared" si="4"/>
        <v>622</v>
      </c>
      <c r="AK38" s="86">
        <v>2511</v>
      </c>
      <c r="AL38" s="274"/>
      <c r="AM38" s="85">
        <v>560</v>
      </c>
      <c r="AN38" s="424">
        <v>523</v>
      </c>
      <c r="AO38" s="424">
        <v>1083</v>
      </c>
      <c r="AP38" s="424">
        <v>572</v>
      </c>
      <c r="AQ38" s="424">
        <v>1655</v>
      </c>
      <c r="AR38" s="424">
        <f t="shared" si="5"/>
        <v>539</v>
      </c>
      <c r="AS38" s="86">
        <v>2194</v>
      </c>
      <c r="AT38" s="274"/>
      <c r="AU38" s="479">
        <v>469</v>
      </c>
    </row>
    <row r="39" spans="1:47" outlineLevel="1" x14ac:dyDescent="0.25">
      <c r="A39" s="310" t="s">
        <v>71</v>
      </c>
      <c r="B39" s="302" t="s">
        <v>60</v>
      </c>
      <c r="C39" s="274"/>
      <c r="D39" s="274"/>
      <c r="E39" s="742">
        <v>0</v>
      </c>
      <c r="F39" s="274"/>
      <c r="G39" s="624">
        <v>0</v>
      </c>
      <c r="H39" s="586">
        <v>0</v>
      </c>
      <c r="I39" s="586">
        <v>0</v>
      </c>
      <c r="J39" s="586">
        <v>0</v>
      </c>
      <c r="K39" s="586">
        <v>0</v>
      </c>
      <c r="L39" s="586">
        <v>0</v>
      </c>
      <c r="M39" s="595">
        <v>0</v>
      </c>
      <c r="N39" s="274"/>
      <c r="O39" s="569">
        <v>0</v>
      </c>
      <c r="P39" s="424">
        <v>0</v>
      </c>
      <c r="Q39" s="424">
        <v>0</v>
      </c>
      <c r="R39" s="424">
        <v>0</v>
      </c>
      <c r="S39" s="424">
        <v>0</v>
      </c>
      <c r="T39" s="424">
        <v>0</v>
      </c>
      <c r="U39" s="424">
        <v>0</v>
      </c>
      <c r="V39" s="483"/>
      <c r="W39" s="569">
        <v>0</v>
      </c>
      <c r="X39" s="424">
        <f t="shared" si="0"/>
        <v>0</v>
      </c>
      <c r="Y39" s="424">
        <v>0</v>
      </c>
      <c r="Z39" s="408">
        <f t="shared" si="36"/>
        <v>0</v>
      </c>
      <c r="AA39" s="424">
        <v>0</v>
      </c>
      <c r="AB39" s="408">
        <f t="shared" si="36"/>
        <v>0</v>
      </c>
      <c r="AC39" s="86">
        <v>0</v>
      </c>
      <c r="AD39" s="483"/>
      <c r="AE39" s="85">
        <v>0</v>
      </c>
      <c r="AF39" s="424">
        <f t="shared" si="2"/>
        <v>0</v>
      </c>
      <c r="AG39" s="424">
        <v>0</v>
      </c>
      <c r="AH39" s="424">
        <v>0</v>
      </c>
      <c r="AI39" s="424">
        <v>0</v>
      </c>
      <c r="AJ39" s="424">
        <f t="shared" si="4"/>
        <v>0</v>
      </c>
      <c r="AK39" s="86">
        <v>0</v>
      </c>
      <c r="AL39" s="274"/>
      <c r="AM39" s="85">
        <v>0</v>
      </c>
      <c r="AN39" s="424">
        <v>0</v>
      </c>
      <c r="AO39" s="424">
        <v>0</v>
      </c>
      <c r="AP39" s="424">
        <v>0</v>
      </c>
      <c r="AQ39" s="424">
        <v>0</v>
      </c>
      <c r="AR39" s="424">
        <f t="shared" si="5"/>
        <v>0</v>
      </c>
      <c r="AS39" s="86">
        <v>0</v>
      </c>
      <c r="AT39" s="274"/>
      <c r="AU39" s="479">
        <v>0</v>
      </c>
    </row>
    <row r="40" spans="1:47" outlineLevel="1" x14ac:dyDescent="0.25">
      <c r="A40" s="310" t="s">
        <v>98</v>
      </c>
      <c r="B40" s="302" t="s">
        <v>62</v>
      </c>
      <c r="C40" s="274"/>
      <c r="D40" s="274"/>
      <c r="E40" s="742">
        <v>0</v>
      </c>
      <c r="F40" s="274"/>
      <c r="G40" s="624">
        <v>0</v>
      </c>
      <c r="H40" s="586">
        <v>0</v>
      </c>
      <c r="I40" s="586">
        <v>0</v>
      </c>
      <c r="J40" s="586">
        <v>0</v>
      </c>
      <c r="K40" s="586">
        <v>0</v>
      </c>
      <c r="L40" s="586">
        <v>0</v>
      </c>
      <c r="M40" s="595">
        <v>0</v>
      </c>
      <c r="N40" s="274"/>
      <c r="O40" s="569">
        <v>0</v>
      </c>
      <c r="P40" s="424">
        <v>0</v>
      </c>
      <c r="Q40" s="424">
        <v>0</v>
      </c>
      <c r="R40" s="424">
        <v>0</v>
      </c>
      <c r="S40" s="424">
        <v>0</v>
      </c>
      <c r="T40" s="424">
        <v>0</v>
      </c>
      <c r="U40" s="424">
        <v>0</v>
      </c>
      <c r="V40" s="483"/>
      <c r="W40" s="569">
        <v>0</v>
      </c>
      <c r="X40" s="424">
        <f t="shared" si="0"/>
        <v>0</v>
      </c>
      <c r="Y40" s="424">
        <v>0</v>
      </c>
      <c r="Z40" s="408">
        <f t="shared" si="36"/>
        <v>0</v>
      </c>
      <c r="AA40" s="424">
        <v>0</v>
      </c>
      <c r="AB40" s="408">
        <f t="shared" si="36"/>
        <v>0</v>
      </c>
      <c r="AC40" s="86">
        <v>0</v>
      </c>
      <c r="AD40" s="483"/>
      <c r="AE40" s="85">
        <v>0</v>
      </c>
      <c r="AF40" s="424">
        <f t="shared" si="2"/>
        <v>0</v>
      </c>
      <c r="AG40" s="424">
        <v>0</v>
      </c>
      <c r="AH40" s="424">
        <v>0</v>
      </c>
      <c r="AI40" s="424">
        <v>0</v>
      </c>
      <c r="AJ40" s="424">
        <f t="shared" si="4"/>
        <v>0</v>
      </c>
      <c r="AK40" s="86">
        <v>0</v>
      </c>
      <c r="AL40" s="274"/>
      <c r="AM40" s="85">
        <v>0</v>
      </c>
      <c r="AN40" s="424">
        <v>0</v>
      </c>
      <c r="AO40" s="424">
        <v>0</v>
      </c>
      <c r="AP40" s="424">
        <v>0</v>
      </c>
      <c r="AQ40" s="424">
        <v>0</v>
      </c>
      <c r="AR40" s="424">
        <f t="shared" si="5"/>
        <v>0</v>
      </c>
      <c r="AS40" s="86">
        <v>0</v>
      </c>
      <c r="AT40" s="274"/>
      <c r="AU40" s="479">
        <v>2517</v>
      </c>
    </row>
    <row r="41" spans="1:47" outlineLevel="1" x14ac:dyDescent="0.25">
      <c r="B41" s="302" t="s">
        <v>63</v>
      </c>
      <c r="C41" s="274"/>
      <c r="D41" s="274"/>
      <c r="E41" s="742">
        <v>0</v>
      </c>
      <c r="F41" s="274"/>
      <c r="G41" s="624">
        <v>0</v>
      </c>
      <c r="H41" s="586">
        <v>0</v>
      </c>
      <c r="I41" s="586">
        <v>0</v>
      </c>
      <c r="J41" s="586">
        <v>0</v>
      </c>
      <c r="K41" s="586">
        <v>0</v>
      </c>
      <c r="L41" s="586">
        <v>0</v>
      </c>
      <c r="M41" s="595">
        <v>0</v>
      </c>
      <c r="N41" s="274"/>
      <c r="O41" s="569">
        <v>0</v>
      </c>
      <c r="P41" s="424">
        <v>0</v>
      </c>
      <c r="Q41" s="424">
        <v>0</v>
      </c>
      <c r="R41" s="424">
        <v>0</v>
      </c>
      <c r="S41" s="424">
        <v>0</v>
      </c>
      <c r="T41" s="424">
        <v>0</v>
      </c>
      <c r="U41" s="424">
        <v>0</v>
      </c>
      <c r="V41" s="483"/>
      <c r="W41" s="569">
        <v>0</v>
      </c>
      <c r="X41" s="424">
        <f t="shared" si="0"/>
        <v>0</v>
      </c>
      <c r="Y41" s="424">
        <v>0</v>
      </c>
      <c r="Z41" s="408">
        <v>0</v>
      </c>
      <c r="AA41" s="424">
        <v>0</v>
      </c>
      <c r="AB41" s="408">
        <v>0</v>
      </c>
      <c r="AC41" s="86">
        <v>0</v>
      </c>
      <c r="AD41" s="483"/>
      <c r="AE41" s="85">
        <v>0</v>
      </c>
      <c r="AF41" s="424">
        <f t="shared" si="2"/>
        <v>0</v>
      </c>
      <c r="AG41" s="424">
        <v>0</v>
      </c>
      <c r="AH41" s="424">
        <v>0</v>
      </c>
      <c r="AI41" s="424">
        <v>0</v>
      </c>
      <c r="AJ41" s="424">
        <f t="shared" si="4"/>
        <v>0</v>
      </c>
      <c r="AK41" s="86">
        <v>0</v>
      </c>
      <c r="AL41" s="274"/>
      <c r="AM41" s="85">
        <v>0</v>
      </c>
      <c r="AN41" s="424">
        <v>0</v>
      </c>
      <c r="AO41" s="424">
        <v>0</v>
      </c>
      <c r="AP41" s="424">
        <v>0</v>
      </c>
      <c r="AQ41" s="424">
        <v>0</v>
      </c>
      <c r="AR41" s="424">
        <f t="shared" si="5"/>
        <v>0</v>
      </c>
      <c r="AS41" s="86">
        <v>0</v>
      </c>
      <c r="AT41" s="274"/>
      <c r="AU41" s="479">
        <v>0</v>
      </c>
    </row>
    <row r="42" spans="1:47" outlineLevel="1" x14ac:dyDescent="0.25">
      <c r="A42" s="310" t="s">
        <v>157</v>
      </c>
      <c r="B42" s="302" t="s">
        <v>86</v>
      </c>
      <c r="C42" s="274"/>
      <c r="D42" s="274"/>
      <c r="E42" s="742">
        <v>0</v>
      </c>
      <c r="F42" s="274"/>
      <c r="G42" s="624">
        <v>0</v>
      </c>
      <c r="H42" s="586">
        <v>0</v>
      </c>
      <c r="I42" s="586">
        <v>0</v>
      </c>
      <c r="J42" s="586">
        <v>0</v>
      </c>
      <c r="K42" s="586">
        <v>0</v>
      </c>
      <c r="L42" s="586">
        <v>0</v>
      </c>
      <c r="M42" s="595">
        <v>0</v>
      </c>
      <c r="N42" s="274"/>
      <c r="O42" s="569">
        <v>0</v>
      </c>
      <c r="P42" s="424">
        <v>0</v>
      </c>
      <c r="Q42" s="424">
        <v>0</v>
      </c>
      <c r="R42" s="424">
        <v>0</v>
      </c>
      <c r="S42" s="424">
        <v>0</v>
      </c>
      <c r="T42" s="424">
        <v>0</v>
      </c>
      <c r="U42" s="424">
        <v>0</v>
      </c>
      <c r="V42" s="483"/>
      <c r="W42" s="569">
        <v>0</v>
      </c>
      <c r="X42" s="424">
        <f t="shared" si="0"/>
        <v>0</v>
      </c>
      <c r="Y42" s="424">
        <v>0</v>
      </c>
      <c r="Z42" s="408">
        <f t="shared" ref="Z42:AB44" si="37">AA42-Y42</f>
        <v>0</v>
      </c>
      <c r="AA42" s="424">
        <v>0</v>
      </c>
      <c r="AB42" s="408">
        <f t="shared" si="37"/>
        <v>0</v>
      </c>
      <c r="AC42" s="86">
        <v>0</v>
      </c>
      <c r="AD42" s="483"/>
      <c r="AE42" s="85">
        <v>0</v>
      </c>
      <c r="AF42" s="424">
        <f t="shared" si="2"/>
        <v>0</v>
      </c>
      <c r="AG42" s="424">
        <v>0</v>
      </c>
      <c r="AH42" s="424">
        <v>0</v>
      </c>
      <c r="AI42" s="424">
        <v>0</v>
      </c>
      <c r="AJ42" s="424">
        <f t="shared" si="4"/>
        <v>0</v>
      </c>
      <c r="AK42" s="86">
        <v>0</v>
      </c>
      <c r="AL42" s="274"/>
      <c r="AM42" s="85">
        <v>1100</v>
      </c>
      <c r="AN42" s="424">
        <v>1100</v>
      </c>
      <c r="AO42" s="424">
        <v>2200</v>
      </c>
      <c r="AP42" s="424">
        <v>1100</v>
      </c>
      <c r="AQ42" s="424">
        <v>3300</v>
      </c>
      <c r="AR42" s="424">
        <f t="shared" si="5"/>
        <v>0</v>
      </c>
      <c r="AS42" s="86">
        <v>3300</v>
      </c>
      <c r="AT42" s="274"/>
      <c r="AU42" s="479">
        <v>1125</v>
      </c>
    </row>
    <row r="43" spans="1:47" ht="17.25" outlineLevel="1" x14ac:dyDescent="0.4">
      <c r="A43" s="310" t="s">
        <v>163</v>
      </c>
      <c r="B43" s="302" t="s">
        <v>34</v>
      </c>
      <c r="C43" s="274"/>
      <c r="D43" s="274"/>
      <c r="E43" s="750">
        <v>512</v>
      </c>
      <c r="F43" s="274"/>
      <c r="G43" s="686">
        <v>63.035000000000004</v>
      </c>
      <c r="H43" s="687">
        <v>42.347999999999999</v>
      </c>
      <c r="I43" s="687">
        <v>105.38300000000001</v>
      </c>
      <c r="J43" s="687">
        <v>117.43600000000001</v>
      </c>
      <c r="K43" s="687">
        <v>222.81900000000002</v>
      </c>
      <c r="L43" s="687">
        <v>85.503999999999991</v>
      </c>
      <c r="M43" s="688">
        <v>308.32299999999998</v>
      </c>
      <c r="N43" s="274"/>
      <c r="O43" s="571">
        <v>75.215000000000003</v>
      </c>
      <c r="P43" s="428">
        <v>56.784999999999997</v>
      </c>
      <c r="Q43" s="428">
        <v>132</v>
      </c>
      <c r="R43" s="428">
        <v>-110</v>
      </c>
      <c r="S43" s="428">
        <v>22</v>
      </c>
      <c r="T43" s="428">
        <f>U43-S43</f>
        <v>489</v>
      </c>
      <c r="U43" s="428">
        <v>511</v>
      </c>
      <c r="V43" s="483"/>
      <c r="W43" s="571">
        <v>114</v>
      </c>
      <c r="X43" s="428">
        <f t="shared" si="0"/>
        <v>66</v>
      </c>
      <c r="Y43" s="428">
        <v>180</v>
      </c>
      <c r="Z43" s="410">
        <f t="shared" si="37"/>
        <v>-63</v>
      </c>
      <c r="AA43" s="428">
        <v>117</v>
      </c>
      <c r="AB43" s="410">
        <f t="shared" si="37"/>
        <v>3052.87</v>
      </c>
      <c r="AC43" s="273">
        <v>3169.87</v>
      </c>
      <c r="AD43" s="483"/>
      <c r="AE43" s="272">
        <v>50</v>
      </c>
      <c r="AF43" s="428">
        <f t="shared" si="2"/>
        <v>45</v>
      </c>
      <c r="AG43" s="428">
        <v>95</v>
      </c>
      <c r="AH43" s="428">
        <f t="shared" si="3"/>
        <v>403</v>
      </c>
      <c r="AI43" s="428">
        <v>498</v>
      </c>
      <c r="AJ43" s="428">
        <f t="shared" si="4"/>
        <v>545</v>
      </c>
      <c r="AK43" s="273">
        <v>1043</v>
      </c>
      <c r="AL43" s="274"/>
      <c r="AM43" s="272">
        <v>55</v>
      </c>
      <c r="AN43" s="428">
        <v>25</v>
      </c>
      <c r="AO43" s="428">
        <v>80</v>
      </c>
      <c r="AP43" s="428">
        <v>110</v>
      </c>
      <c r="AQ43" s="428">
        <v>190</v>
      </c>
      <c r="AR43" s="428">
        <f t="shared" si="5"/>
        <v>187</v>
      </c>
      <c r="AS43" s="273">
        <v>377</v>
      </c>
      <c r="AT43" s="274"/>
      <c r="AU43" s="480">
        <v>39</v>
      </c>
    </row>
    <row r="44" spans="1:47" x14ac:dyDescent="0.25">
      <c r="A44" s="310" t="s">
        <v>65</v>
      </c>
      <c r="B44" s="308" t="s">
        <v>65</v>
      </c>
      <c r="C44" s="274"/>
      <c r="D44" s="274"/>
      <c r="E44" s="706">
        <f t="shared" ref="E44" si="38">SUM(E36:E43)</f>
        <v>22688.645999999997</v>
      </c>
      <c r="F44" s="274"/>
      <c r="G44" s="567">
        <f t="shared" ref="G44:M44" si="39">SUM(G36:G43)</f>
        <v>20050.123000000003</v>
      </c>
      <c r="H44" s="608">
        <f t="shared" si="39"/>
        <v>22891.392000000007</v>
      </c>
      <c r="I44" s="608">
        <f t="shared" si="39"/>
        <v>40514.474000000002</v>
      </c>
      <c r="J44" s="608">
        <f t="shared" si="39"/>
        <v>17230.185999999998</v>
      </c>
      <c r="K44" s="608">
        <f t="shared" si="39"/>
        <v>57744.659999999989</v>
      </c>
      <c r="L44" s="608">
        <f t="shared" si="39"/>
        <v>18072.852000000003</v>
      </c>
      <c r="M44" s="622">
        <f t="shared" si="39"/>
        <v>75817.512000000002</v>
      </c>
      <c r="N44" s="274"/>
      <c r="O44" s="567">
        <f t="shared" ref="O44:U44" si="40">SUM(O36:O43)</f>
        <v>16322.215</v>
      </c>
      <c r="P44" s="608">
        <f t="shared" si="40"/>
        <v>23100.785</v>
      </c>
      <c r="Q44" s="608">
        <f t="shared" si="40"/>
        <v>39423</v>
      </c>
      <c r="R44" s="608">
        <f t="shared" si="40"/>
        <v>17070</v>
      </c>
      <c r="S44" s="608">
        <f t="shared" si="40"/>
        <v>56493</v>
      </c>
      <c r="T44" s="608">
        <f t="shared" si="40"/>
        <v>17152</v>
      </c>
      <c r="U44" s="608">
        <f t="shared" si="40"/>
        <v>73645</v>
      </c>
      <c r="V44" s="483"/>
      <c r="W44" s="567">
        <v>14251</v>
      </c>
      <c r="X44" s="423">
        <f t="shared" si="0"/>
        <v>14477</v>
      </c>
      <c r="Y44" s="423">
        <v>28728</v>
      </c>
      <c r="Z44" s="406">
        <f t="shared" si="37"/>
        <v>13292</v>
      </c>
      <c r="AA44" s="423">
        <v>42020</v>
      </c>
      <c r="AB44" s="406">
        <f t="shared" si="37"/>
        <v>14021.813000000002</v>
      </c>
      <c r="AC44" s="40">
        <v>56041.813000000002</v>
      </c>
      <c r="AD44" s="483"/>
      <c r="AE44" s="84">
        <f>24951-250</f>
        <v>24701</v>
      </c>
      <c r="AF44" s="423">
        <f t="shared" si="2"/>
        <v>24474</v>
      </c>
      <c r="AG44" s="423">
        <v>49175</v>
      </c>
      <c r="AH44" s="423">
        <f t="shared" si="3"/>
        <v>19113</v>
      </c>
      <c r="AI44" s="423">
        <v>68288</v>
      </c>
      <c r="AJ44" s="423">
        <f t="shared" si="4"/>
        <v>13784</v>
      </c>
      <c r="AK44" s="40">
        <v>82072</v>
      </c>
      <c r="AL44" s="274"/>
      <c r="AM44" s="84">
        <v>13805</v>
      </c>
      <c r="AN44" s="423">
        <v>17921</v>
      </c>
      <c r="AO44" s="423">
        <v>31726</v>
      </c>
      <c r="AP44" s="423">
        <v>13845</v>
      </c>
      <c r="AQ44" s="423">
        <v>45571</v>
      </c>
      <c r="AR44" s="423">
        <v>13897</v>
      </c>
      <c r="AS44" s="40">
        <v>59468</v>
      </c>
      <c r="AT44" s="274"/>
      <c r="AU44" s="477">
        <v>8607</v>
      </c>
    </row>
    <row r="45" spans="1:47" x14ac:dyDescent="0.25">
      <c r="B45" s="308"/>
      <c r="C45" s="274"/>
      <c r="D45" s="274"/>
      <c r="E45" s="730"/>
      <c r="F45" s="274"/>
      <c r="G45" s="572"/>
      <c r="H45" s="423"/>
      <c r="I45" s="423"/>
      <c r="J45" s="423"/>
      <c r="K45" s="423"/>
      <c r="L45" s="406"/>
      <c r="M45" s="40"/>
      <c r="N45" s="274"/>
      <c r="O45" s="572"/>
      <c r="P45" s="423"/>
      <c r="Q45" s="423"/>
      <c r="R45" s="423"/>
      <c r="S45" s="423"/>
      <c r="T45" s="406"/>
      <c r="U45" s="40"/>
      <c r="V45" s="483"/>
      <c r="W45" s="572"/>
      <c r="X45" s="423"/>
      <c r="Y45" s="423"/>
      <c r="Z45" s="406"/>
      <c r="AA45" s="423"/>
      <c r="AB45" s="406"/>
      <c r="AC45" s="40"/>
      <c r="AD45" s="483"/>
      <c r="AE45" s="84"/>
      <c r="AF45" s="423"/>
      <c r="AG45" s="423"/>
      <c r="AH45" s="423"/>
      <c r="AI45" s="423"/>
      <c r="AJ45" s="423"/>
      <c r="AK45" s="40"/>
      <c r="AL45" s="274"/>
      <c r="AM45" s="84"/>
      <c r="AN45" s="423"/>
      <c r="AO45" s="423"/>
      <c r="AP45" s="423"/>
      <c r="AQ45" s="423"/>
      <c r="AR45" s="423"/>
      <c r="AS45" s="40"/>
      <c r="AT45" s="274"/>
      <c r="AU45" s="477"/>
    </row>
    <row r="46" spans="1:47" x14ac:dyDescent="0.25">
      <c r="B46" s="302"/>
      <c r="C46" s="274"/>
      <c r="D46" s="274"/>
      <c r="E46" s="730"/>
      <c r="F46" s="274"/>
      <c r="G46" s="572"/>
      <c r="H46" s="470"/>
      <c r="I46" s="470"/>
      <c r="J46" s="470"/>
      <c r="K46" s="470"/>
      <c r="L46" s="406"/>
      <c r="M46" s="40"/>
      <c r="N46" s="274"/>
      <c r="O46" s="572"/>
      <c r="P46" s="470"/>
      <c r="Q46" s="470"/>
      <c r="R46" s="470"/>
      <c r="S46" s="470"/>
      <c r="T46" s="406"/>
      <c r="U46" s="40"/>
      <c r="V46" s="483"/>
      <c r="W46" s="572"/>
      <c r="X46" s="470"/>
      <c r="Y46" s="470"/>
      <c r="Z46" s="406"/>
      <c r="AA46" s="470"/>
      <c r="AB46" s="406"/>
      <c r="AC46" s="40"/>
      <c r="AD46" s="483"/>
      <c r="AE46" s="471"/>
      <c r="AF46" s="470"/>
      <c r="AG46" s="470"/>
      <c r="AH46" s="470"/>
      <c r="AI46" s="470"/>
      <c r="AJ46" s="423"/>
      <c r="AK46" s="40"/>
      <c r="AL46" s="274"/>
      <c r="AM46" s="84"/>
      <c r="AN46" s="423"/>
      <c r="AO46" s="423"/>
      <c r="AP46" s="423"/>
      <c r="AQ46" s="423"/>
      <c r="AR46" s="423"/>
      <c r="AS46" s="40"/>
      <c r="AT46" s="274"/>
      <c r="AU46" s="477"/>
    </row>
    <row r="47" spans="1:47" x14ac:dyDescent="0.25">
      <c r="A47" s="310" t="s">
        <v>221</v>
      </c>
      <c r="B47" s="308" t="s">
        <v>25</v>
      </c>
      <c r="C47" s="274"/>
      <c r="D47" s="274"/>
      <c r="E47" s="730">
        <v>465894.70899999997</v>
      </c>
      <c r="F47" s="274"/>
      <c r="G47" s="572">
        <v>476138.41899999999</v>
      </c>
      <c r="H47" s="429"/>
      <c r="I47" s="429">
        <v>475412.72700000001</v>
      </c>
      <c r="J47" s="429"/>
      <c r="K47" s="429">
        <v>472935.321</v>
      </c>
      <c r="L47" s="406"/>
      <c r="M47" s="332">
        <v>467457.63799999998</v>
      </c>
      <c r="N47" s="274"/>
      <c r="O47" s="572">
        <v>498945</v>
      </c>
      <c r="P47" s="429"/>
      <c r="Q47" s="429">
        <v>494144</v>
      </c>
      <c r="R47" s="429"/>
      <c r="S47" s="429">
        <v>484531</v>
      </c>
      <c r="T47" s="406"/>
      <c r="U47" s="429">
        <v>475738</v>
      </c>
      <c r="V47" s="483"/>
      <c r="W47" s="572">
        <v>493123</v>
      </c>
      <c r="X47" s="429"/>
      <c r="Y47" s="429">
        <v>492202</v>
      </c>
      <c r="Z47" s="406"/>
      <c r="AA47" s="423">
        <v>486480.37099999998</v>
      </c>
      <c r="AB47" s="406"/>
      <c r="AC47" s="332">
        <v>498708.27899999998</v>
      </c>
      <c r="AD47" s="483"/>
      <c r="AE47" s="473">
        <v>513994</v>
      </c>
      <c r="AF47" s="429">
        <v>513487</v>
      </c>
      <c r="AG47" s="429"/>
      <c r="AH47" s="429"/>
      <c r="AI47" s="429">
        <v>503465</v>
      </c>
      <c r="AJ47" s="429"/>
      <c r="AK47" s="332">
        <v>496087</v>
      </c>
      <c r="AL47" s="274"/>
      <c r="AM47" s="473">
        <v>521513</v>
      </c>
      <c r="AN47" s="429">
        <v>520734</v>
      </c>
      <c r="AO47" s="429"/>
      <c r="AP47" s="429">
        <v>519962</v>
      </c>
      <c r="AQ47" s="429"/>
      <c r="AR47" s="429">
        <v>519537</v>
      </c>
      <c r="AS47" s="332"/>
      <c r="AT47" s="274"/>
      <c r="AU47" s="482">
        <v>525027</v>
      </c>
    </row>
    <row r="48" spans="1:47" x14ac:dyDescent="0.25">
      <c r="B48" s="302"/>
      <c r="C48" s="274"/>
      <c r="D48" s="274"/>
      <c r="E48" s="730"/>
      <c r="F48" s="274"/>
      <c r="G48" s="572"/>
      <c r="H48" s="470"/>
      <c r="I48" s="470"/>
      <c r="J48" s="470"/>
      <c r="K48" s="470"/>
      <c r="L48" s="406"/>
      <c r="M48" s="472"/>
      <c r="N48" s="274"/>
      <c r="O48" s="572"/>
      <c r="P48" s="470"/>
      <c r="Q48" s="470"/>
      <c r="R48" s="470"/>
      <c r="S48" s="470"/>
      <c r="T48" s="406"/>
      <c r="U48" s="470"/>
      <c r="V48" s="483"/>
      <c r="W48" s="572"/>
      <c r="X48" s="470"/>
      <c r="Y48" s="470"/>
      <c r="Z48" s="406"/>
      <c r="AA48" s="470"/>
      <c r="AB48" s="406"/>
      <c r="AC48" s="40"/>
      <c r="AD48" s="483"/>
      <c r="AE48" s="471"/>
      <c r="AF48" s="470"/>
      <c r="AG48" s="470"/>
      <c r="AH48" s="470"/>
      <c r="AI48" s="470"/>
      <c r="AJ48" s="423"/>
      <c r="AK48" s="40"/>
      <c r="AL48" s="274"/>
      <c r="AM48" s="84"/>
      <c r="AN48" s="423"/>
      <c r="AO48" s="423"/>
      <c r="AP48" s="423"/>
      <c r="AQ48" s="423"/>
      <c r="AR48" s="423"/>
      <c r="AS48" s="40"/>
      <c r="AT48" s="274"/>
      <c r="AU48" s="477"/>
    </row>
    <row r="49" spans="1:47" outlineLevel="1" x14ac:dyDescent="0.25">
      <c r="A49" s="310" t="s">
        <v>222</v>
      </c>
      <c r="B49" s="302" t="s">
        <v>26</v>
      </c>
      <c r="C49" s="274"/>
      <c r="D49" s="274"/>
      <c r="E49" s="745">
        <v>112638.38800000001</v>
      </c>
      <c r="F49" s="274"/>
      <c r="G49" s="573">
        <v>157897.9</v>
      </c>
      <c r="H49" s="504"/>
      <c r="I49" s="504">
        <v>150026.42499999999</v>
      </c>
      <c r="J49" s="504"/>
      <c r="K49" s="504">
        <v>140530.91899999999</v>
      </c>
      <c r="L49" s="408"/>
      <c r="M49" s="529">
        <v>129985.317</v>
      </c>
      <c r="N49" s="274"/>
      <c r="O49" s="573">
        <v>207731</v>
      </c>
      <c r="P49" s="504"/>
      <c r="Q49" s="504">
        <v>190845</v>
      </c>
      <c r="R49" s="504"/>
      <c r="S49" s="504">
        <v>180107</v>
      </c>
      <c r="T49" s="408"/>
      <c r="U49" s="504">
        <v>169692</v>
      </c>
      <c r="V49" s="483"/>
      <c r="W49" s="573">
        <v>68299</v>
      </c>
      <c r="X49" s="504"/>
      <c r="Y49" s="504">
        <v>62963</v>
      </c>
      <c r="Z49" s="408"/>
      <c r="AA49" s="423">
        <v>52742.379000000001</v>
      </c>
      <c r="AB49" s="408"/>
      <c r="AC49" s="40">
        <v>212753.93400000001</v>
      </c>
      <c r="AD49" s="483"/>
      <c r="AE49" s="503">
        <v>107394</v>
      </c>
      <c r="AF49" s="504">
        <v>94820</v>
      </c>
      <c r="AG49" s="504"/>
      <c r="AH49" s="504"/>
      <c r="AI49" s="504">
        <v>79530</v>
      </c>
      <c r="AJ49" s="504"/>
      <c r="AK49" s="40">
        <v>75275</v>
      </c>
      <c r="AL49" s="274"/>
      <c r="AM49" s="503">
        <v>103370</v>
      </c>
      <c r="AN49" s="504">
        <v>94304</v>
      </c>
      <c r="AO49" s="504"/>
      <c r="AP49" s="504">
        <v>134419</v>
      </c>
      <c r="AQ49" s="504"/>
      <c r="AR49" s="504">
        <v>124994</v>
      </c>
      <c r="AS49" s="40"/>
      <c r="AT49" s="274"/>
      <c r="AU49" s="515">
        <v>114810</v>
      </c>
    </row>
    <row r="50" spans="1:47" ht="17.25" outlineLevel="1" x14ac:dyDescent="0.4">
      <c r="B50" s="302" t="s">
        <v>28</v>
      </c>
      <c r="C50" s="274"/>
      <c r="D50" s="274"/>
      <c r="E50" s="746">
        <v>62806.513000000006</v>
      </c>
      <c r="F50" s="274"/>
      <c r="G50" s="574">
        <v>65480.934000000008</v>
      </c>
      <c r="H50" s="504"/>
      <c r="I50" s="428">
        <v>62238.093000000023</v>
      </c>
      <c r="J50" s="504"/>
      <c r="K50" s="428">
        <v>62501.94200000001</v>
      </c>
      <c r="L50" s="409"/>
      <c r="M50" s="273">
        <v>59682.422999999995</v>
      </c>
      <c r="N50" s="274"/>
      <c r="O50" s="574">
        <v>69994</v>
      </c>
      <c r="P50" s="504"/>
      <c r="Q50" s="428">
        <v>71791</v>
      </c>
      <c r="R50" s="504"/>
      <c r="S50" s="428">
        <v>67392</v>
      </c>
      <c r="T50" s="409"/>
      <c r="U50" s="428">
        <v>63148</v>
      </c>
      <c r="V50" s="483"/>
      <c r="W50" s="574">
        <v>57625</v>
      </c>
      <c r="X50" s="504"/>
      <c r="Y50" s="504">
        <v>55969</v>
      </c>
      <c r="Z50" s="409"/>
      <c r="AA50" s="428">
        <f>AA51-AA49</f>
        <v>55618.721000000005</v>
      </c>
      <c r="AB50" s="409"/>
      <c r="AC50" s="40">
        <v>68795.36599999998</v>
      </c>
      <c r="AD50" s="483"/>
      <c r="AE50" s="503">
        <v>75331</v>
      </c>
      <c r="AF50" s="504">
        <v>73121</v>
      </c>
      <c r="AG50" s="504"/>
      <c r="AH50" s="504"/>
      <c r="AI50" s="504">
        <v>68840</v>
      </c>
      <c r="AJ50" s="504"/>
      <c r="AK50" s="40">
        <v>59673</v>
      </c>
      <c r="AL50" s="274"/>
      <c r="AM50" s="503">
        <v>74087</v>
      </c>
      <c r="AN50" s="504">
        <v>74721</v>
      </c>
      <c r="AO50" s="504"/>
      <c r="AP50" s="504">
        <v>77056</v>
      </c>
      <c r="AQ50" s="504"/>
      <c r="AR50" s="504">
        <v>78127</v>
      </c>
      <c r="AS50" s="40"/>
      <c r="AT50" s="274"/>
      <c r="AU50" s="515">
        <v>72203</v>
      </c>
    </row>
    <row r="51" spans="1:47" x14ac:dyDescent="0.25">
      <c r="A51" s="310" t="s">
        <v>223</v>
      </c>
      <c r="B51" s="308" t="s">
        <v>29</v>
      </c>
      <c r="C51" s="274"/>
      <c r="D51" s="274"/>
      <c r="E51" s="730">
        <v>175444.90100000001</v>
      </c>
      <c r="F51" s="274"/>
      <c r="G51" s="572">
        <v>223378.834</v>
      </c>
      <c r="H51" s="423"/>
      <c r="I51" s="423">
        <v>212264.51800000001</v>
      </c>
      <c r="J51" s="423"/>
      <c r="K51" s="423">
        <v>203032.861</v>
      </c>
      <c r="L51" s="406"/>
      <c r="M51" s="40">
        <v>189667.74</v>
      </c>
      <c r="N51" s="274"/>
      <c r="O51" s="572">
        <f>SUM(O49:O50)</f>
        <v>277725</v>
      </c>
      <c r="P51" s="423"/>
      <c r="Q51" s="423">
        <f>SUM(Q49:Q50)</f>
        <v>262636</v>
      </c>
      <c r="R51" s="423"/>
      <c r="S51" s="423">
        <f>SUM(S49:S50)</f>
        <v>247499</v>
      </c>
      <c r="T51" s="406"/>
      <c r="U51" s="423">
        <f>SUM(U49:U50)</f>
        <v>232840</v>
      </c>
      <c r="V51" s="483"/>
      <c r="W51" s="572">
        <v>125924</v>
      </c>
      <c r="X51" s="423"/>
      <c r="Y51" s="423">
        <v>118932</v>
      </c>
      <c r="Z51" s="406"/>
      <c r="AA51" s="423">
        <v>108361.1</v>
      </c>
      <c r="AB51" s="406"/>
      <c r="AC51" s="86">
        <v>281549.3</v>
      </c>
      <c r="AD51" s="483"/>
      <c r="AE51" s="84">
        <v>182725</v>
      </c>
      <c r="AF51" s="423">
        <v>167941</v>
      </c>
      <c r="AG51" s="423"/>
      <c r="AH51" s="423"/>
      <c r="AI51" s="423">
        <v>148370</v>
      </c>
      <c r="AJ51" s="423"/>
      <c r="AK51" s="86">
        <v>134948</v>
      </c>
      <c r="AL51" s="274"/>
      <c r="AM51" s="84">
        <v>177457</v>
      </c>
      <c r="AN51" s="423">
        <v>169025</v>
      </c>
      <c r="AO51" s="423"/>
      <c r="AP51" s="423">
        <v>211475</v>
      </c>
      <c r="AQ51" s="424"/>
      <c r="AR51" s="423">
        <v>203121</v>
      </c>
      <c r="AS51" s="86"/>
      <c r="AT51" s="274"/>
      <c r="AU51" s="477">
        <v>187013</v>
      </c>
    </row>
    <row r="52" spans="1:47" ht="17.25" x14ac:dyDescent="0.4">
      <c r="B52" s="308"/>
      <c r="C52" s="274"/>
      <c r="D52" s="274"/>
      <c r="E52" s="730"/>
      <c r="F52" s="274"/>
      <c r="G52" s="572"/>
      <c r="H52" s="428"/>
      <c r="I52" s="428"/>
      <c r="J52" s="428"/>
      <c r="K52" s="428"/>
      <c r="L52" s="406"/>
      <c r="M52" s="273"/>
      <c r="N52" s="274"/>
      <c r="O52" s="572"/>
      <c r="P52" s="428"/>
      <c r="Q52" s="428"/>
      <c r="R52" s="428"/>
      <c r="S52" s="428"/>
      <c r="T52" s="406"/>
      <c r="U52" s="428"/>
      <c r="V52" s="483"/>
      <c r="W52" s="572"/>
      <c r="X52" s="428"/>
      <c r="Y52" s="428"/>
      <c r="Z52" s="406"/>
      <c r="AA52" s="423"/>
      <c r="AB52" s="406"/>
      <c r="AC52" s="273"/>
      <c r="AD52" s="483"/>
      <c r="AE52" s="324"/>
      <c r="AF52" s="428"/>
      <c r="AG52" s="428"/>
      <c r="AH52" s="428"/>
      <c r="AI52" s="428"/>
      <c r="AJ52" s="428"/>
      <c r="AK52" s="273"/>
      <c r="AL52" s="274"/>
      <c r="AM52" s="324"/>
      <c r="AN52" s="427"/>
      <c r="AO52" s="427"/>
      <c r="AP52" s="427"/>
      <c r="AQ52" s="428"/>
      <c r="AR52" s="428"/>
      <c r="AS52" s="273"/>
      <c r="AT52" s="274"/>
      <c r="AU52" s="480"/>
    </row>
    <row r="53" spans="1:47" x14ac:dyDescent="0.25">
      <c r="A53" s="310" t="s">
        <v>224</v>
      </c>
      <c r="B53" s="308" t="s">
        <v>36</v>
      </c>
      <c r="C53" s="274"/>
      <c r="D53" s="274"/>
      <c r="E53" s="730">
        <v>290449.80804999999</v>
      </c>
      <c r="F53" s="274"/>
      <c r="G53" s="572">
        <v>252759.58505000002</v>
      </c>
      <c r="H53" s="423"/>
      <c r="I53" s="423">
        <v>263148.20905</v>
      </c>
      <c r="J53" s="423"/>
      <c r="K53" s="423">
        <v>269902.46004999999</v>
      </c>
      <c r="L53" s="406"/>
      <c r="M53" s="40">
        <v>277789.89805000002</v>
      </c>
      <c r="N53" s="274"/>
      <c r="O53" s="572">
        <v>221220</v>
      </c>
      <c r="P53" s="423"/>
      <c r="Q53" s="423">
        <v>231508</v>
      </c>
      <c r="R53" s="423"/>
      <c r="S53" s="423">
        <v>237032</v>
      </c>
      <c r="T53" s="406"/>
      <c r="U53" s="423">
        <v>242898</v>
      </c>
      <c r="V53" s="483"/>
      <c r="W53" s="572">
        <v>367199</v>
      </c>
      <c r="X53" s="423"/>
      <c r="Y53" s="423">
        <v>373270</v>
      </c>
      <c r="Z53" s="406"/>
      <c r="AA53" s="423">
        <v>378119.27105000004</v>
      </c>
      <c r="AB53" s="406"/>
      <c r="AC53" s="40">
        <v>217158.98505000002</v>
      </c>
      <c r="AD53" s="483"/>
      <c r="AE53" s="84">
        <v>331269</v>
      </c>
      <c r="AF53" s="423">
        <v>345546</v>
      </c>
      <c r="AG53" s="423"/>
      <c r="AH53" s="423"/>
      <c r="AI53" s="423">
        <v>355095</v>
      </c>
      <c r="AJ53" s="423"/>
      <c r="AK53" s="40">
        <v>361139</v>
      </c>
      <c r="AL53" s="274"/>
      <c r="AM53" s="84">
        <v>344056</v>
      </c>
      <c r="AN53" s="423">
        <v>351709</v>
      </c>
      <c r="AO53" s="423"/>
      <c r="AP53" s="423">
        <v>308487</v>
      </c>
      <c r="AQ53" s="423"/>
      <c r="AR53" s="423">
        <v>316416</v>
      </c>
      <c r="AS53" s="40"/>
      <c r="AT53" s="274"/>
      <c r="AU53" s="477">
        <v>338014</v>
      </c>
    </row>
    <row r="54" spans="1:47" x14ac:dyDescent="0.25">
      <c r="B54" s="302"/>
      <c r="C54" s="274"/>
      <c r="D54" s="274"/>
      <c r="E54" s="747"/>
      <c r="F54" s="274"/>
      <c r="G54" s="575"/>
      <c r="H54" s="423"/>
      <c r="I54" s="423"/>
      <c r="J54" s="423"/>
      <c r="K54" s="423"/>
      <c r="L54" s="406"/>
      <c r="M54" s="40"/>
      <c r="N54" s="274"/>
      <c r="O54" s="575"/>
      <c r="P54" s="423"/>
      <c r="Q54" s="423"/>
      <c r="R54" s="423"/>
      <c r="S54" s="423"/>
      <c r="T54" s="406"/>
      <c r="U54" s="423"/>
      <c r="V54" s="483"/>
      <c r="W54" s="575"/>
      <c r="X54" s="423"/>
      <c r="Y54" s="423"/>
      <c r="Z54" s="406"/>
      <c r="AA54" s="445"/>
      <c r="AB54" s="406"/>
      <c r="AC54" s="40"/>
      <c r="AD54" s="483"/>
      <c r="AE54" s="84"/>
      <c r="AF54" s="423"/>
      <c r="AG54" s="423"/>
      <c r="AH54" s="423"/>
      <c r="AI54" s="423"/>
      <c r="AJ54" s="423"/>
      <c r="AK54" s="40"/>
      <c r="AL54" s="274"/>
      <c r="AM54" s="84"/>
      <c r="AN54" s="423"/>
      <c r="AO54" s="423"/>
      <c r="AP54" s="423"/>
      <c r="AQ54" s="423"/>
      <c r="AR54" s="423"/>
      <c r="AS54" s="40"/>
      <c r="AT54" s="274"/>
      <c r="AU54" s="477"/>
    </row>
    <row r="55" spans="1:47" x14ac:dyDescent="0.25">
      <c r="A55" s="310" t="s">
        <v>231</v>
      </c>
      <c r="B55" s="308" t="s">
        <v>66</v>
      </c>
      <c r="C55" s="274"/>
      <c r="D55" s="274"/>
      <c r="E55" s="732">
        <v>906</v>
      </c>
      <c r="F55" s="274"/>
      <c r="G55" s="639">
        <v>871</v>
      </c>
      <c r="H55" s="653">
        <f>I55-G55</f>
        <v>1073</v>
      </c>
      <c r="I55" s="653">
        <v>1944</v>
      </c>
      <c r="J55" s="653">
        <f>K55-I55</f>
        <v>1155</v>
      </c>
      <c r="K55" s="653">
        <v>3099</v>
      </c>
      <c r="L55" s="653">
        <f>M55-K55</f>
        <v>1720</v>
      </c>
      <c r="M55" s="657">
        <v>4819</v>
      </c>
      <c r="N55" s="274"/>
      <c r="O55" s="575">
        <v>203</v>
      </c>
      <c r="P55" s="423">
        <v>74</v>
      </c>
      <c r="Q55" s="423">
        <v>277</v>
      </c>
      <c r="R55" s="423">
        <v>61</v>
      </c>
      <c r="S55" s="423">
        <v>338</v>
      </c>
      <c r="T55" s="423">
        <f>U55-S55</f>
        <v>259</v>
      </c>
      <c r="U55" s="423">
        <v>597</v>
      </c>
      <c r="V55" s="483"/>
      <c r="W55" s="575">
        <v>552.30499999999995</v>
      </c>
      <c r="X55" s="423">
        <f t="shared" ref="X55" si="41">Y55-W55</f>
        <v>467.69500000000005</v>
      </c>
      <c r="Y55" s="423">
        <v>1020</v>
      </c>
      <c r="Z55" s="406">
        <f t="shared" ref="Z55:AB55" si="42">AA55-Y55</f>
        <v>349.94800000000009</v>
      </c>
      <c r="AA55" s="454">
        <v>1369.9480000000001</v>
      </c>
      <c r="AB55" s="406">
        <f t="shared" si="42"/>
        <v>359.05199999999991</v>
      </c>
      <c r="AC55" s="40">
        <v>1729</v>
      </c>
      <c r="AD55" s="483"/>
      <c r="AE55" s="84">
        <v>218</v>
      </c>
      <c r="AF55" s="423">
        <f>AG55-AE55</f>
        <v>1879</v>
      </c>
      <c r="AG55" s="423">
        <v>2097</v>
      </c>
      <c r="AH55" s="423"/>
      <c r="AI55" s="423">
        <v>3407</v>
      </c>
      <c r="AJ55" s="423"/>
      <c r="AK55" s="40">
        <v>2051</v>
      </c>
      <c r="AL55" s="274"/>
      <c r="AM55" s="84">
        <v>221</v>
      </c>
      <c r="AN55" s="423">
        <v>372</v>
      </c>
      <c r="AO55" s="423">
        <v>593</v>
      </c>
      <c r="AP55" s="423">
        <v>242</v>
      </c>
      <c r="AQ55" s="423">
        <v>835</v>
      </c>
      <c r="AR55" s="423">
        <f>AS55-AQ55</f>
        <v>518</v>
      </c>
      <c r="AS55" s="40">
        <v>1353</v>
      </c>
      <c r="AT55" s="274"/>
      <c r="AU55" s="477">
        <v>794</v>
      </c>
    </row>
    <row r="56" spans="1:47" x14ac:dyDescent="0.25">
      <c r="B56" s="308"/>
      <c r="C56" s="274"/>
      <c r="D56" s="274"/>
      <c r="E56" s="732"/>
      <c r="F56" s="274"/>
      <c r="G56" s="639"/>
      <c r="H56" s="654"/>
      <c r="I56" s="654"/>
      <c r="J56" s="654"/>
      <c r="K56" s="654"/>
      <c r="L56" s="654"/>
      <c r="M56" s="658"/>
      <c r="N56" s="274"/>
      <c r="O56" s="575"/>
      <c r="P56" s="429"/>
      <c r="Q56" s="429"/>
      <c r="R56" s="429"/>
      <c r="S56" s="429"/>
      <c r="T56" s="429"/>
      <c r="U56" s="429"/>
      <c r="V56" s="483"/>
      <c r="W56" s="575"/>
      <c r="X56" s="429"/>
      <c r="Y56" s="429"/>
      <c r="Z56" s="406"/>
      <c r="AA56" s="445"/>
      <c r="AB56" s="406"/>
      <c r="AC56" s="332"/>
      <c r="AD56" s="483"/>
      <c r="AE56" s="473"/>
      <c r="AF56" s="429"/>
      <c r="AG56" s="429"/>
      <c r="AH56" s="429"/>
      <c r="AI56" s="429"/>
      <c r="AJ56" s="429"/>
      <c r="AK56" s="332"/>
      <c r="AL56" s="274"/>
      <c r="AM56" s="473"/>
      <c r="AN56" s="429"/>
      <c r="AO56" s="429"/>
      <c r="AP56" s="429"/>
      <c r="AQ56" s="429"/>
      <c r="AR56" s="429"/>
      <c r="AS56" s="332"/>
      <c r="AT56" s="274"/>
      <c r="AU56" s="482"/>
    </row>
    <row r="57" spans="1:47" x14ac:dyDescent="0.25">
      <c r="A57" s="310" t="s">
        <v>232</v>
      </c>
      <c r="B57" s="419" t="s">
        <v>170</v>
      </c>
      <c r="C57" s="274"/>
      <c r="D57" s="274"/>
      <c r="E57" s="732">
        <v>0</v>
      </c>
      <c r="F57" s="274"/>
      <c r="G57" s="639">
        <v>0</v>
      </c>
      <c r="H57" s="653">
        <v>0</v>
      </c>
      <c r="I57" s="655">
        <v>0</v>
      </c>
      <c r="J57" s="653">
        <v>0</v>
      </c>
      <c r="K57" s="655">
        <v>0</v>
      </c>
      <c r="L57" s="655">
        <v>0</v>
      </c>
      <c r="M57" s="659">
        <v>0</v>
      </c>
      <c r="N57" s="274"/>
      <c r="O57" s="575">
        <v>217</v>
      </c>
      <c r="P57" s="423">
        <v>720</v>
      </c>
      <c r="Q57" s="583">
        <v>937</v>
      </c>
      <c r="R57" s="423">
        <v>832</v>
      </c>
      <c r="S57" s="583">
        <v>1769</v>
      </c>
      <c r="T57" s="583">
        <f>U57-S57</f>
        <v>1441</v>
      </c>
      <c r="U57" s="583">
        <v>3210</v>
      </c>
      <c r="V57" s="483"/>
      <c r="W57" s="575">
        <v>255</v>
      </c>
      <c r="X57" s="423">
        <f t="shared" ref="X57" si="43">Y57-W57</f>
        <v>349</v>
      </c>
      <c r="Y57" s="583">
        <v>604</v>
      </c>
      <c r="Z57" s="406">
        <f t="shared" ref="Z57:AB57" si="44">AA57-Y57</f>
        <v>499.34799999999996</v>
      </c>
      <c r="AA57" s="445">
        <v>1103.348</v>
      </c>
      <c r="AB57" s="406">
        <f t="shared" si="44"/>
        <v>616.65200000000004</v>
      </c>
      <c r="AC57" s="332">
        <v>1720</v>
      </c>
      <c r="AD57" s="483"/>
      <c r="AE57" s="473">
        <v>575</v>
      </c>
      <c r="AF57" s="429"/>
      <c r="AG57" s="426"/>
      <c r="AH57" s="426"/>
      <c r="AI57" s="426"/>
      <c r="AJ57" s="429"/>
      <c r="AK57" s="332">
        <v>3190</v>
      </c>
      <c r="AL57" s="274"/>
      <c r="AM57" s="473">
        <v>634</v>
      </c>
      <c r="AN57" s="423">
        <v>909</v>
      </c>
      <c r="AO57" s="429">
        <v>1543</v>
      </c>
      <c r="AP57" s="423">
        <v>737</v>
      </c>
      <c r="AQ57" s="429">
        <v>2280</v>
      </c>
      <c r="AR57" s="429">
        <f>AS57-AQ57</f>
        <v>1408</v>
      </c>
      <c r="AS57" s="332">
        <v>3688</v>
      </c>
      <c r="AT57" s="274"/>
      <c r="AU57" s="482">
        <v>0</v>
      </c>
    </row>
    <row r="58" spans="1:47" x14ac:dyDescent="0.25">
      <c r="B58" s="308"/>
      <c r="C58" s="274"/>
      <c r="D58" s="274"/>
      <c r="E58" s="483"/>
      <c r="F58" s="274"/>
      <c r="G58" s="304"/>
      <c r="H58" s="274"/>
      <c r="I58" s="423"/>
      <c r="J58" s="423"/>
      <c r="K58" s="423"/>
      <c r="L58" s="423"/>
      <c r="M58" s="40"/>
      <c r="N58" s="274"/>
      <c r="O58" s="304"/>
      <c r="P58" s="274"/>
      <c r="Q58" s="423"/>
      <c r="R58" s="423"/>
      <c r="S58" s="423"/>
      <c r="T58" s="423"/>
      <c r="U58" s="423"/>
      <c r="V58" s="483"/>
      <c r="W58" s="304"/>
      <c r="X58" s="274"/>
      <c r="Y58" s="423"/>
      <c r="Z58" s="423"/>
      <c r="AA58" s="423"/>
      <c r="AB58" s="423"/>
      <c r="AC58" s="315"/>
      <c r="AD58" s="483"/>
      <c r="AE58" s="304"/>
      <c r="AF58" s="274"/>
      <c r="AG58" s="423"/>
      <c r="AH58" s="423"/>
      <c r="AI58" s="423"/>
      <c r="AJ58" s="423"/>
      <c r="AK58" s="315"/>
      <c r="AL58" s="274"/>
      <c r="AM58" s="304"/>
      <c r="AN58" s="274"/>
      <c r="AO58" s="274"/>
      <c r="AP58" s="274"/>
      <c r="AQ58" s="274"/>
      <c r="AR58" s="274"/>
      <c r="AS58" s="315"/>
      <c r="AT58" s="274"/>
      <c r="AU58" s="483"/>
    </row>
    <row r="59" spans="1:47" ht="17.25" x14ac:dyDescent="0.4">
      <c r="B59" s="309" t="s">
        <v>67</v>
      </c>
      <c r="C59" s="274"/>
      <c r="D59" s="274"/>
      <c r="E59" s="483"/>
      <c r="F59" s="274"/>
      <c r="G59" s="304"/>
      <c r="H59" s="274"/>
      <c r="I59" s="427"/>
      <c r="J59" s="427"/>
      <c r="K59" s="427"/>
      <c r="L59" s="427"/>
      <c r="M59" s="315"/>
      <c r="N59" s="274"/>
      <c r="O59" s="304"/>
      <c r="P59" s="274"/>
      <c r="Q59" s="427"/>
      <c r="R59" s="427"/>
      <c r="S59" s="427"/>
      <c r="T59" s="427"/>
      <c r="U59" s="315"/>
      <c r="V59" s="483"/>
      <c r="W59" s="304"/>
      <c r="X59" s="274"/>
      <c r="Y59" s="427"/>
      <c r="Z59" s="427"/>
      <c r="AA59" s="427"/>
      <c r="AB59" s="427"/>
      <c r="AC59" s="315"/>
      <c r="AD59" s="483"/>
      <c r="AE59" s="304"/>
      <c r="AF59" s="274"/>
      <c r="AG59" s="427"/>
      <c r="AH59" s="427"/>
      <c r="AI59" s="427"/>
      <c r="AJ59" s="427"/>
      <c r="AK59" s="315"/>
      <c r="AL59" s="274"/>
      <c r="AM59" s="304"/>
      <c r="AN59" s="274"/>
      <c r="AO59" s="274"/>
      <c r="AP59" s="274"/>
      <c r="AQ59" s="274"/>
      <c r="AR59" s="274"/>
      <c r="AS59" s="315"/>
      <c r="AT59" s="274"/>
      <c r="AU59" s="483"/>
    </row>
    <row r="60" spans="1:47" x14ac:dyDescent="0.25">
      <c r="B60" s="308" t="s">
        <v>68</v>
      </c>
      <c r="C60" s="274"/>
      <c r="D60" s="274"/>
      <c r="E60" s="709"/>
      <c r="F60" s="274"/>
      <c r="G60" s="322"/>
      <c r="H60" s="430"/>
      <c r="I60" s="423"/>
      <c r="J60" s="423"/>
      <c r="K60" s="423"/>
      <c r="L60" s="423"/>
      <c r="M60" s="647">
        <v>0.91400000000000003</v>
      </c>
      <c r="N60" s="274"/>
      <c r="O60" s="322"/>
      <c r="P60" s="430"/>
      <c r="Q60" s="423"/>
      <c r="R60" s="423"/>
      <c r="S60" s="423"/>
      <c r="T60" s="423"/>
      <c r="U60" s="70">
        <v>0.91700000000000004</v>
      </c>
      <c r="V60" s="483"/>
      <c r="W60" s="322"/>
      <c r="X60" s="430"/>
      <c r="Y60" s="423"/>
      <c r="Z60" s="423"/>
      <c r="AA60" s="423"/>
      <c r="AB60" s="423"/>
      <c r="AC60" s="70">
        <v>0.91800000000000004</v>
      </c>
      <c r="AD60" s="483"/>
      <c r="AE60" s="322"/>
      <c r="AF60" s="430"/>
      <c r="AG60" s="423"/>
      <c r="AH60" s="423"/>
      <c r="AI60" s="423"/>
      <c r="AJ60" s="423"/>
      <c r="AK60" s="70">
        <v>0.91800000000000004</v>
      </c>
      <c r="AL60" s="274"/>
      <c r="AM60" s="322"/>
      <c r="AN60" s="430"/>
      <c r="AO60" s="430"/>
      <c r="AP60" s="430"/>
      <c r="AQ60" s="430"/>
      <c r="AR60" s="499">
        <v>0.91800000000000004</v>
      </c>
      <c r="AS60" s="70"/>
      <c r="AT60" s="274"/>
      <c r="AU60" s="484">
        <v>0.81899999999999995</v>
      </c>
    </row>
    <row r="61" spans="1:47" ht="15.75" thickBot="1" x14ac:dyDescent="0.3">
      <c r="B61" s="334" t="s">
        <v>69</v>
      </c>
      <c r="C61" s="274"/>
      <c r="D61" s="274"/>
      <c r="E61" s="710"/>
      <c r="F61" s="274"/>
      <c r="G61" s="323"/>
      <c r="H61" s="58"/>
      <c r="I61" s="545"/>
      <c r="J61" s="545"/>
      <c r="K61" s="545"/>
      <c r="L61" s="545"/>
      <c r="M61" s="648">
        <v>0.82799999999999996</v>
      </c>
      <c r="N61" s="274"/>
      <c r="O61" s="323"/>
      <c r="P61" s="58"/>
      <c r="Q61" s="545"/>
      <c r="R61" s="545"/>
      <c r="S61" s="545"/>
      <c r="T61" s="545"/>
      <c r="U61" s="73">
        <v>0.83</v>
      </c>
      <c r="V61" s="483"/>
      <c r="W61" s="323"/>
      <c r="X61" s="58"/>
      <c r="Y61" s="545"/>
      <c r="Z61" s="545"/>
      <c r="AA61" s="545"/>
      <c r="AB61" s="545"/>
      <c r="AC61" s="73">
        <v>0.83199999999999996</v>
      </c>
      <c r="AD61" s="483"/>
      <c r="AE61" s="323"/>
      <c r="AF61" s="58"/>
      <c r="AG61" s="545"/>
      <c r="AH61" s="545"/>
      <c r="AI61" s="545"/>
      <c r="AJ61" s="545"/>
      <c r="AK61" s="73">
        <v>0.83499999999999996</v>
      </c>
      <c r="AL61" s="274"/>
      <c r="AM61" s="323"/>
      <c r="AN61" s="58"/>
      <c r="AO61" s="58"/>
      <c r="AP61" s="58"/>
      <c r="AQ61" s="58"/>
      <c r="AR61" s="500">
        <v>0.83799999999999997</v>
      </c>
      <c r="AS61" s="73"/>
      <c r="AT61" s="274"/>
      <c r="AU61" s="485">
        <v>0.748</v>
      </c>
    </row>
    <row r="63" spans="1:47" hidden="1" outlineLevel="1" x14ac:dyDescent="0.25">
      <c r="B63" s="275" t="s">
        <v>37</v>
      </c>
      <c r="E63" s="276">
        <f t="shared" ref="E63" si="45">E17-E18-E19</f>
        <v>0</v>
      </c>
      <c r="G63" s="276">
        <f t="shared" ref="G63:M63" si="46">G17-G18-G19</f>
        <v>0</v>
      </c>
      <c r="H63" s="276">
        <f t="shared" si="46"/>
        <v>0</v>
      </c>
      <c r="I63" s="276">
        <f t="shared" si="46"/>
        <v>0</v>
      </c>
      <c r="J63" s="276">
        <f t="shared" si="46"/>
        <v>0</v>
      </c>
      <c r="K63" s="276">
        <f t="shared" si="46"/>
        <v>0</v>
      </c>
      <c r="L63" s="276">
        <f t="shared" si="46"/>
        <v>0</v>
      </c>
      <c r="M63" s="276">
        <f t="shared" si="46"/>
        <v>0</v>
      </c>
      <c r="O63" s="276">
        <f t="shared" ref="O63:U63" si="47">O17-O18-O19</f>
        <v>0</v>
      </c>
      <c r="P63" s="276">
        <f t="shared" si="47"/>
        <v>0</v>
      </c>
      <c r="Q63" s="276">
        <f t="shared" si="47"/>
        <v>0</v>
      </c>
      <c r="R63" s="276">
        <f t="shared" si="47"/>
        <v>0</v>
      </c>
      <c r="S63" s="276">
        <f t="shared" si="47"/>
        <v>0</v>
      </c>
      <c r="T63" s="276">
        <f t="shared" si="47"/>
        <v>0</v>
      </c>
      <c r="U63" s="276">
        <f t="shared" si="47"/>
        <v>0</v>
      </c>
      <c r="W63" s="276">
        <f t="shared" ref="W63:AC63" si="48">W17-W18-W19</f>
        <v>0</v>
      </c>
      <c r="X63" s="276">
        <f t="shared" si="48"/>
        <v>0</v>
      </c>
      <c r="Y63" s="276">
        <f t="shared" si="48"/>
        <v>0</v>
      </c>
      <c r="Z63" s="276">
        <f t="shared" si="48"/>
        <v>0</v>
      </c>
      <c r="AA63" s="276">
        <f t="shared" si="48"/>
        <v>0</v>
      </c>
      <c r="AB63" s="276">
        <f t="shared" si="48"/>
        <v>0</v>
      </c>
      <c r="AC63" s="276">
        <f t="shared" si="48"/>
        <v>0</v>
      </c>
      <c r="AE63" s="276">
        <f t="shared" ref="AE63:AK63" si="49">AE17-AE18-AE19</f>
        <v>0</v>
      </c>
      <c r="AF63" s="276">
        <f t="shared" si="49"/>
        <v>0</v>
      </c>
      <c r="AG63" s="276">
        <f t="shared" si="49"/>
        <v>0</v>
      </c>
      <c r="AH63" s="276">
        <f t="shared" si="49"/>
        <v>0</v>
      </c>
      <c r="AI63" s="276">
        <f t="shared" si="49"/>
        <v>0</v>
      </c>
      <c r="AJ63" s="276">
        <f t="shared" si="49"/>
        <v>0</v>
      </c>
      <c r="AK63" s="276">
        <f t="shared" si="49"/>
        <v>0</v>
      </c>
      <c r="AM63" s="276">
        <f t="shared" ref="AM63:AS63" si="50">AM17-AM18-AM19</f>
        <v>0</v>
      </c>
      <c r="AN63" s="276">
        <f t="shared" si="50"/>
        <v>0</v>
      </c>
      <c r="AO63" s="276">
        <f t="shared" si="50"/>
        <v>0</v>
      </c>
      <c r="AP63" s="276">
        <f t="shared" si="50"/>
        <v>0</v>
      </c>
      <c r="AQ63" s="276">
        <f t="shared" si="50"/>
        <v>0</v>
      </c>
      <c r="AR63" s="276">
        <f t="shared" si="50"/>
        <v>0</v>
      </c>
      <c r="AS63" s="276">
        <f t="shared" si="50"/>
        <v>0</v>
      </c>
      <c r="AU63" s="276">
        <f>AU17-AU18-AU19</f>
        <v>0</v>
      </c>
    </row>
    <row r="64" spans="1:47" hidden="1" outlineLevel="1" x14ac:dyDescent="0.25">
      <c r="B64" s="277" t="s">
        <v>38</v>
      </c>
      <c r="E64" s="276">
        <f t="shared" ref="E64" si="51">E19-SUM(E20:E23)-E24</f>
        <v>0</v>
      </c>
      <c r="G64" s="276">
        <f t="shared" ref="G64:M64" si="52">G19-SUM(G20:G23)-G24</f>
        <v>0</v>
      </c>
      <c r="H64" s="276">
        <f t="shared" si="52"/>
        <v>0</v>
      </c>
      <c r="I64" s="276">
        <f t="shared" si="52"/>
        <v>0</v>
      </c>
      <c r="J64" s="276">
        <f t="shared" si="52"/>
        <v>0</v>
      </c>
      <c r="K64" s="276">
        <f t="shared" si="52"/>
        <v>0</v>
      </c>
      <c r="L64" s="276">
        <f t="shared" si="52"/>
        <v>0</v>
      </c>
      <c r="M64" s="276">
        <f t="shared" si="52"/>
        <v>0</v>
      </c>
      <c r="O64" s="276">
        <f t="shared" ref="O64:U64" si="53">O19-SUM(O20:O23)-O24</f>
        <v>0</v>
      </c>
      <c r="P64" s="276">
        <f t="shared" si="53"/>
        <v>0</v>
      </c>
      <c r="Q64" s="276">
        <f t="shared" si="53"/>
        <v>0</v>
      </c>
      <c r="R64" s="276">
        <f t="shared" si="53"/>
        <v>0</v>
      </c>
      <c r="S64" s="276">
        <f t="shared" si="53"/>
        <v>0</v>
      </c>
      <c r="T64" s="276">
        <f t="shared" si="53"/>
        <v>0</v>
      </c>
      <c r="U64" s="276">
        <f t="shared" si="53"/>
        <v>0</v>
      </c>
      <c r="W64" s="276">
        <f t="shared" ref="W64:AC64" si="54">W19-SUM(W20:W23)-W24</f>
        <v>0</v>
      </c>
      <c r="X64" s="276">
        <f t="shared" si="54"/>
        <v>0</v>
      </c>
      <c r="Y64" s="276">
        <f t="shared" si="54"/>
        <v>0</v>
      </c>
      <c r="Z64" s="276">
        <f t="shared" si="54"/>
        <v>0</v>
      </c>
      <c r="AA64" s="276">
        <f t="shared" si="54"/>
        <v>0</v>
      </c>
      <c r="AB64" s="276">
        <f t="shared" si="54"/>
        <v>-7.2759576141834259E-12</v>
      </c>
      <c r="AC64" s="276">
        <f t="shared" si="54"/>
        <v>0</v>
      </c>
      <c r="AE64" s="276">
        <f t="shared" ref="AE64:AK64" si="55">AE19-SUM(AE20:AE23)-AE24</f>
        <v>0</v>
      </c>
      <c r="AF64" s="276">
        <f t="shared" si="55"/>
        <v>-8.1999999994877726E-2</v>
      </c>
      <c r="AG64" s="276">
        <f t="shared" si="55"/>
        <v>-8.1999999994877726E-2</v>
      </c>
      <c r="AH64" s="276">
        <f t="shared" si="55"/>
        <v>8.1999999994877726E-2</v>
      </c>
      <c r="AI64" s="276">
        <f t="shared" si="55"/>
        <v>0</v>
      </c>
      <c r="AJ64" s="276">
        <f t="shared" si="55"/>
        <v>0</v>
      </c>
      <c r="AK64" s="276">
        <f t="shared" si="55"/>
        <v>0</v>
      </c>
      <c r="AM64" s="276">
        <f t="shared" ref="AM64:AS64" si="56">AM19-SUM(AM20:AM23)-AM24</f>
        <v>0</v>
      </c>
      <c r="AN64" s="276">
        <f t="shared" si="56"/>
        <v>0</v>
      </c>
      <c r="AO64" s="276">
        <f t="shared" si="56"/>
        <v>0</v>
      </c>
      <c r="AP64" s="276">
        <f t="shared" si="56"/>
        <v>0</v>
      </c>
      <c r="AQ64" s="276">
        <f t="shared" si="56"/>
        <v>0</v>
      </c>
      <c r="AR64" s="276">
        <f t="shared" si="56"/>
        <v>0</v>
      </c>
      <c r="AS64" s="276">
        <f t="shared" si="56"/>
        <v>0</v>
      </c>
      <c r="AU64" s="276">
        <f>AU19-SUM(AU20:AU23)-AU24</f>
        <v>0</v>
      </c>
    </row>
    <row r="65" spans="1:47" hidden="1" outlineLevel="1" x14ac:dyDescent="0.25">
      <c r="B65" s="277" t="s">
        <v>24</v>
      </c>
      <c r="E65" s="276">
        <f t="shared" ref="E65" si="57">E24-SUM(E25:E28)-E29</f>
        <v>0</v>
      </c>
      <c r="G65" s="276">
        <f t="shared" ref="G65:H65" si="58">G24-SUM(G25:G28)-G29</f>
        <v>0</v>
      </c>
      <c r="H65" s="276">
        <f t="shared" si="58"/>
        <v>0</v>
      </c>
      <c r="I65" s="276">
        <f>I24-SUM(I25:I28)-I29</f>
        <v>0</v>
      </c>
      <c r="J65" s="276">
        <f t="shared" ref="J65:M65" si="59">J24-SUM(J25:J28)-J29</f>
        <v>0</v>
      </c>
      <c r="K65" s="276">
        <f t="shared" si="59"/>
        <v>0</v>
      </c>
      <c r="L65" s="276">
        <f t="shared" si="59"/>
        <v>0</v>
      </c>
      <c r="M65" s="276">
        <f t="shared" si="59"/>
        <v>0</v>
      </c>
      <c r="O65" s="276">
        <f t="shared" ref="O65:P65" si="60">O24-SUM(O25:O28)-O29</f>
        <v>0</v>
      </c>
      <c r="P65" s="276">
        <f t="shared" si="60"/>
        <v>0</v>
      </c>
      <c r="Q65" s="276">
        <f>Q24-SUM(Q25:Q28)-Q29</f>
        <v>0</v>
      </c>
      <c r="R65" s="276">
        <f t="shared" ref="R65:U65" si="61">R24-SUM(R25:R28)-R29</f>
        <v>0</v>
      </c>
      <c r="S65" s="276">
        <f t="shared" si="61"/>
        <v>0</v>
      </c>
      <c r="T65" s="276">
        <f t="shared" si="61"/>
        <v>0</v>
      </c>
      <c r="U65" s="276">
        <f t="shared" si="61"/>
        <v>0</v>
      </c>
      <c r="W65" s="276">
        <f t="shared" ref="W65:AC65" si="62">W24-SUM(W25:W28)-W29</f>
        <v>0</v>
      </c>
      <c r="X65" s="276">
        <f t="shared" si="62"/>
        <v>0</v>
      </c>
      <c r="Y65" s="276">
        <f>Y24-SUM(Y25:Y28)-Y29</f>
        <v>0</v>
      </c>
      <c r="Z65" s="276">
        <f t="shared" si="62"/>
        <v>0</v>
      </c>
      <c r="AA65" s="276">
        <f t="shared" si="62"/>
        <v>0</v>
      </c>
      <c r="AB65" s="276">
        <f t="shared" si="62"/>
        <v>2.2737367544323206E-12</v>
      </c>
      <c r="AC65" s="276">
        <f t="shared" si="62"/>
        <v>0</v>
      </c>
      <c r="AE65" s="276">
        <f t="shared" ref="AE65:AK65" si="63">AE24-SUM(AE25:AE28)-AE29</f>
        <v>0</v>
      </c>
      <c r="AF65" s="276">
        <f t="shared" si="63"/>
        <v>8.1999999994877726E-2</v>
      </c>
      <c r="AG65" s="276">
        <f t="shared" si="63"/>
        <v>8.1999999994877726E-2</v>
      </c>
      <c r="AH65" s="276">
        <f t="shared" si="63"/>
        <v>-8.1999999994877726E-2</v>
      </c>
      <c r="AI65" s="276">
        <f t="shared" si="63"/>
        <v>0</v>
      </c>
      <c r="AJ65" s="276">
        <f t="shared" si="63"/>
        <v>0</v>
      </c>
      <c r="AK65" s="276">
        <f t="shared" si="63"/>
        <v>0</v>
      </c>
      <c r="AM65" s="276">
        <f t="shared" ref="AM65:AS65" si="64">AM24-SUM(AM25:AM28)-AM29</f>
        <v>0</v>
      </c>
      <c r="AN65" s="276">
        <f t="shared" si="64"/>
        <v>0</v>
      </c>
      <c r="AO65" s="276">
        <f t="shared" si="64"/>
        <v>0</v>
      </c>
      <c r="AP65" s="276">
        <f t="shared" si="64"/>
        <v>0</v>
      </c>
      <c r="AQ65" s="276">
        <f t="shared" si="64"/>
        <v>0</v>
      </c>
      <c r="AR65" s="276">
        <f t="shared" si="64"/>
        <v>0</v>
      </c>
      <c r="AS65" s="276">
        <f t="shared" si="64"/>
        <v>0</v>
      </c>
      <c r="AU65" s="276">
        <f>AU24-SUM(AU25:AU28)-AU29</f>
        <v>0</v>
      </c>
    </row>
    <row r="66" spans="1:47" hidden="1" outlineLevel="1" x14ac:dyDescent="0.25">
      <c r="B66" s="277" t="s">
        <v>57</v>
      </c>
      <c r="E66" s="276">
        <f t="shared" ref="E66" si="65">SUM(E29:E35)-E36</f>
        <v>0</v>
      </c>
      <c r="G66" s="276">
        <f t="shared" ref="G66:M66" si="66">SUM(G29:G35)-G36</f>
        <v>0</v>
      </c>
      <c r="H66" s="276">
        <f t="shared" si="66"/>
        <v>0</v>
      </c>
      <c r="I66" s="276">
        <f t="shared" si="66"/>
        <v>0</v>
      </c>
      <c r="J66" s="276">
        <f t="shared" si="66"/>
        <v>0</v>
      </c>
      <c r="K66" s="276">
        <f t="shared" si="66"/>
        <v>0</v>
      </c>
      <c r="L66" s="276">
        <f t="shared" si="66"/>
        <v>0</v>
      </c>
      <c r="M66" s="276">
        <f t="shared" si="66"/>
        <v>0</v>
      </c>
      <c r="O66" s="276">
        <f t="shared" ref="O66:U66" si="67">SUM(O29:O35)-O36</f>
        <v>0</v>
      </c>
      <c r="P66" s="276">
        <f t="shared" si="67"/>
        <v>0</v>
      </c>
      <c r="Q66" s="276">
        <f t="shared" si="67"/>
        <v>0</v>
      </c>
      <c r="R66" s="276">
        <f t="shared" si="67"/>
        <v>0</v>
      </c>
      <c r="S66" s="276">
        <f t="shared" si="67"/>
        <v>0</v>
      </c>
      <c r="T66" s="276">
        <f t="shared" si="67"/>
        <v>0</v>
      </c>
      <c r="U66" s="276">
        <f t="shared" si="67"/>
        <v>0</v>
      </c>
      <c r="W66" s="276">
        <f t="shared" ref="W66:AC66" si="68">SUM(W29:W35)-W36</f>
        <v>0</v>
      </c>
      <c r="X66" s="276">
        <f t="shared" si="68"/>
        <v>0</v>
      </c>
      <c r="Y66" s="276">
        <f t="shared" si="68"/>
        <v>0</v>
      </c>
      <c r="Z66" s="276">
        <f t="shared" si="68"/>
        <v>0</v>
      </c>
      <c r="AA66" s="276">
        <f t="shared" si="68"/>
        <v>0</v>
      </c>
      <c r="AB66" s="276">
        <f t="shared" si="68"/>
        <v>-0.2930000000014843</v>
      </c>
      <c r="AC66" s="276">
        <f t="shared" si="68"/>
        <v>-0.29300000000512227</v>
      </c>
      <c r="AE66" s="276">
        <f t="shared" ref="AE66:AK66" si="69">SUM(AE29:AE35)-AE36</f>
        <v>0</v>
      </c>
      <c r="AF66" s="276">
        <f t="shared" si="69"/>
        <v>0</v>
      </c>
      <c r="AG66" s="276">
        <f t="shared" si="69"/>
        <v>0</v>
      </c>
      <c r="AH66" s="276">
        <f t="shared" si="69"/>
        <v>0</v>
      </c>
      <c r="AI66" s="276">
        <f t="shared" si="69"/>
        <v>0</v>
      </c>
      <c r="AJ66" s="276">
        <f t="shared" si="69"/>
        <v>0</v>
      </c>
      <c r="AK66" s="276">
        <f t="shared" si="69"/>
        <v>0</v>
      </c>
      <c r="AM66" s="276">
        <f t="shared" ref="AM66:AS66" si="70">SUM(AM29:AM35)-AM36</f>
        <v>0</v>
      </c>
      <c r="AN66" s="276">
        <f t="shared" si="70"/>
        <v>0</v>
      </c>
      <c r="AO66" s="276">
        <f t="shared" si="70"/>
        <v>0</v>
      </c>
      <c r="AP66" s="276">
        <f t="shared" si="70"/>
        <v>0</v>
      </c>
      <c r="AQ66" s="276">
        <f t="shared" si="70"/>
        <v>0</v>
      </c>
      <c r="AR66" s="276">
        <f t="shared" si="70"/>
        <v>0</v>
      </c>
      <c r="AS66" s="276">
        <f t="shared" si="70"/>
        <v>0</v>
      </c>
      <c r="AU66" s="276">
        <f>SUM(AU29:AU35)-AU36</f>
        <v>0</v>
      </c>
    </row>
    <row r="67" spans="1:47" hidden="1" outlineLevel="1" x14ac:dyDescent="0.25">
      <c r="B67" s="277" t="s">
        <v>147</v>
      </c>
      <c r="E67" s="276">
        <f t="shared" ref="E67" si="71">SUM(E36:E43)-E44</f>
        <v>0</v>
      </c>
      <c r="G67" s="276">
        <f t="shared" ref="G67:M67" si="72">SUM(G36:G43)-G44</f>
        <v>0</v>
      </c>
      <c r="H67" s="276">
        <f t="shared" si="72"/>
        <v>0</v>
      </c>
      <c r="I67" s="276">
        <f t="shared" si="72"/>
        <v>0</v>
      </c>
      <c r="J67" s="276">
        <f t="shared" si="72"/>
        <v>0</v>
      </c>
      <c r="K67" s="276">
        <f t="shared" si="72"/>
        <v>0</v>
      </c>
      <c r="L67" s="276">
        <f t="shared" si="72"/>
        <v>0</v>
      </c>
      <c r="M67" s="276">
        <f t="shared" si="72"/>
        <v>0</v>
      </c>
      <c r="O67" s="276">
        <f t="shared" ref="O67:U67" si="73">SUM(O36:O43)-O44</f>
        <v>0</v>
      </c>
      <c r="P67" s="276">
        <f t="shared" si="73"/>
        <v>0</v>
      </c>
      <c r="Q67" s="276">
        <f t="shared" si="73"/>
        <v>0</v>
      </c>
      <c r="R67" s="276">
        <f t="shared" si="73"/>
        <v>0</v>
      </c>
      <c r="S67" s="276">
        <f t="shared" si="73"/>
        <v>0</v>
      </c>
      <c r="T67" s="276">
        <f t="shared" si="73"/>
        <v>0</v>
      </c>
      <c r="U67" s="276">
        <f t="shared" si="73"/>
        <v>0</v>
      </c>
      <c r="W67" s="276">
        <f t="shared" ref="W67:AC67" si="74">SUM(W36:W43)-W44</f>
        <v>0</v>
      </c>
      <c r="X67" s="276">
        <f t="shared" si="74"/>
        <v>0</v>
      </c>
      <c r="Y67" s="276">
        <f t="shared" si="74"/>
        <v>0</v>
      </c>
      <c r="Z67" s="276">
        <f t="shared" si="74"/>
        <v>0</v>
      </c>
      <c r="AA67" s="276">
        <f t="shared" si="74"/>
        <v>0</v>
      </c>
      <c r="AB67" s="276">
        <f t="shared" si="74"/>
        <v>0</v>
      </c>
      <c r="AC67" s="276">
        <f t="shared" si="74"/>
        <v>0</v>
      </c>
      <c r="AE67" s="276">
        <f t="shared" ref="AE67:AK67" si="75">SUM(AE36:AE43)-AE44</f>
        <v>0</v>
      </c>
      <c r="AF67" s="276">
        <f t="shared" si="75"/>
        <v>0</v>
      </c>
      <c r="AG67" s="276">
        <f t="shared" si="75"/>
        <v>0</v>
      </c>
      <c r="AH67" s="276">
        <f t="shared" si="75"/>
        <v>0</v>
      </c>
      <c r="AI67" s="276">
        <f t="shared" si="75"/>
        <v>0</v>
      </c>
      <c r="AJ67" s="276">
        <f t="shared" si="75"/>
        <v>0</v>
      </c>
      <c r="AK67" s="276">
        <f t="shared" si="75"/>
        <v>0</v>
      </c>
      <c r="AM67" s="276">
        <f t="shared" ref="AM67:AS67" si="76">SUM(AM36:AM43)-AM44</f>
        <v>0</v>
      </c>
      <c r="AN67" s="276">
        <f t="shared" si="76"/>
        <v>0</v>
      </c>
      <c r="AO67" s="276">
        <f t="shared" si="76"/>
        <v>0</v>
      </c>
      <c r="AP67" s="276">
        <f t="shared" si="76"/>
        <v>0</v>
      </c>
      <c r="AQ67" s="276">
        <f t="shared" si="76"/>
        <v>0</v>
      </c>
      <c r="AR67" s="276">
        <f t="shared" si="76"/>
        <v>0</v>
      </c>
      <c r="AS67" s="276">
        <f t="shared" si="76"/>
        <v>0</v>
      </c>
      <c r="AU67" s="276">
        <f>SUM(AU36:AU43)-AU44</f>
        <v>0</v>
      </c>
    </row>
    <row r="68" spans="1:47" hidden="1" outlineLevel="1" x14ac:dyDescent="0.25">
      <c r="B68" s="277" t="s">
        <v>39</v>
      </c>
      <c r="E68" s="276">
        <f t="shared" ref="E68" si="77">SUM(E49:E50)-E51</f>
        <v>0</v>
      </c>
      <c r="G68" s="276">
        <f t="shared" ref="G68:H68" si="78">SUM(G49:G50)-G51</f>
        <v>0</v>
      </c>
      <c r="H68" s="276">
        <f t="shared" si="78"/>
        <v>0</v>
      </c>
      <c r="I68" s="276">
        <f t="shared" ref="I68:J68" si="79">SUM(I49:I50)-I51</f>
        <v>0</v>
      </c>
      <c r="J68" s="276">
        <f t="shared" si="79"/>
        <v>0</v>
      </c>
      <c r="K68" s="276">
        <f t="shared" ref="K68:M68" si="80">SUM(K49:K50)-K51</f>
        <v>0</v>
      </c>
      <c r="L68" s="276">
        <f t="shared" si="80"/>
        <v>0</v>
      </c>
      <c r="M68" s="276">
        <f t="shared" si="80"/>
        <v>0</v>
      </c>
      <c r="O68" s="276">
        <f t="shared" ref="O68:P68" si="81">SUM(O49:O50)-O51</f>
        <v>0</v>
      </c>
      <c r="P68" s="276">
        <f t="shared" si="81"/>
        <v>0</v>
      </c>
      <c r="Q68" s="276">
        <f t="shared" ref="Q68:R68" si="82">SUM(Q49:Q50)-Q51</f>
        <v>0</v>
      </c>
      <c r="R68" s="276">
        <f t="shared" si="82"/>
        <v>0</v>
      </c>
      <c r="S68" s="276">
        <f t="shared" ref="S68:U68" si="83">SUM(S49:S50)-S51</f>
        <v>0</v>
      </c>
      <c r="T68" s="276">
        <f t="shared" si="83"/>
        <v>0</v>
      </c>
      <c r="U68" s="276">
        <f t="shared" si="83"/>
        <v>0</v>
      </c>
      <c r="W68" s="276">
        <f t="shared" ref="W68:X68" si="84">SUM(W49:W50)-W51</f>
        <v>0</v>
      </c>
      <c r="X68" s="276">
        <f t="shared" si="84"/>
        <v>0</v>
      </c>
      <c r="Y68" s="276">
        <f t="shared" ref="Y68:Z68" si="85">SUM(Y49:Y50)-Y51</f>
        <v>0</v>
      </c>
      <c r="Z68" s="276">
        <f t="shared" si="85"/>
        <v>0</v>
      </c>
      <c r="AA68" s="276">
        <f t="shared" ref="AA68:AC68" si="86">SUM(AA49:AA50)-AA51</f>
        <v>0</v>
      </c>
      <c r="AB68" s="276">
        <f t="shared" si="86"/>
        <v>0</v>
      </c>
      <c r="AC68" s="276">
        <f t="shared" si="86"/>
        <v>0</v>
      </c>
      <c r="AE68" s="276">
        <f t="shared" ref="AE68:AF68" si="87">SUM(AE49:AE50)-AE51</f>
        <v>0</v>
      </c>
      <c r="AF68" s="276">
        <f t="shared" si="87"/>
        <v>0</v>
      </c>
      <c r="AG68" s="276">
        <f t="shared" ref="AG68:AH68" si="88">SUM(AG49:AG50)-AG51</f>
        <v>0</v>
      </c>
      <c r="AH68" s="276">
        <f t="shared" si="88"/>
        <v>0</v>
      </c>
      <c r="AI68" s="276">
        <f t="shared" ref="AI68:AJ68" si="89">SUM(AI49:AI50)-AI51</f>
        <v>0</v>
      </c>
      <c r="AJ68" s="276">
        <f t="shared" si="89"/>
        <v>0</v>
      </c>
      <c r="AK68" s="276">
        <f t="shared" ref="AK68" si="90">SUM(AK49:AK50)-AK51</f>
        <v>0</v>
      </c>
      <c r="AM68" s="276">
        <f t="shared" ref="AM68:AS68" si="91">SUM(AM49:AM50)-AM51</f>
        <v>0</v>
      </c>
      <c r="AN68" s="276">
        <f t="shared" si="91"/>
        <v>0</v>
      </c>
      <c r="AO68" s="276">
        <f t="shared" si="91"/>
        <v>0</v>
      </c>
      <c r="AP68" s="276">
        <f t="shared" si="91"/>
        <v>0</v>
      </c>
      <c r="AQ68" s="276">
        <f t="shared" si="91"/>
        <v>0</v>
      </c>
      <c r="AR68" s="276">
        <f t="shared" si="91"/>
        <v>0</v>
      </c>
      <c r="AS68" s="276">
        <f t="shared" si="91"/>
        <v>0</v>
      </c>
      <c r="AU68" s="276">
        <f>SUM(AU49:AU50)-AU51</f>
        <v>0</v>
      </c>
    </row>
    <row r="69" spans="1:47" hidden="1" outlineLevel="1" x14ac:dyDescent="0.25">
      <c r="B69" s="277" t="s">
        <v>40</v>
      </c>
      <c r="E69" s="276">
        <f t="shared" ref="E69" si="92">E47-E51-E53</f>
        <v>-5.0000031478703022E-5</v>
      </c>
      <c r="G69" s="276">
        <f t="shared" ref="G69:M69" si="93">G47-G51-G53</f>
        <v>-5.0000031478703022E-5</v>
      </c>
      <c r="H69" s="276">
        <f t="shared" si="93"/>
        <v>0</v>
      </c>
      <c r="I69" s="276">
        <f t="shared" si="93"/>
        <v>-4.9999973271042109E-5</v>
      </c>
      <c r="J69" s="276">
        <f t="shared" si="93"/>
        <v>0</v>
      </c>
      <c r="K69" s="276">
        <f t="shared" si="93"/>
        <v>-5.0000031478703022E-5</v>
      </c>
      <c r="L69" s="276">
        <f t="shared" si="93"/>
        <v>0</v>
      </c>
      <c r="M69" s="276">
        <f t="shared" si="93"/>
        <v>-5.0000031478703022E-5</v>
      </c>
      <c r="O69" s="276">
        <f t="shared" ref="O69:U69" si="94">O47-O51-O53</f>
        <v>0</v>
      </c>
      <c r="P69" s="276">
        <f t="shared" si="94"/>
        <v>0</v>
      </c>
      <c r="Q69" s="276">
        <f t="shared" si="94"/>
        <v>0</v>
      </c>
      <c r="R69" s="276">
        <f t="shared" si="94"/>
        <v>0</v>
      </c>
      <c r="S69" s="276">
        <f t="shared" si="94"/>
        <v>0</v>
      </c>
      <c r="T69" s="276">
        <f t="shared" si="94"/>
        <v>0</v>
      </c>
      <c r="U69" s="276">
        <f t="shared" si="94"/>
        <v>0</v>
      </c>
      <c r="W69" s="276">
        <f t="shared" ref="W69:AC69" si="95">W47-W51-W53</f>
        <v>0</v>
      </c>
      <c r="X69" s="276">
        <f t="shared" si="95"/>
        <v>0</v>
      </c>
      <c r="Y69" s="276">
        <f t="shared" si="95"/>
        <v>0</v>
      </c>
      <c r="Z69" s="276">
        <f t="shared" si="95"/>
        <v>0</v>
      </c>
      <c r="AA69" s="276">
        <f t="shared" si="95"/>
        <v>-5.0000089686363935E-5</v>
      </c>
      <c r="AB69" s="276">
        <f t="shared" si="95"/>
        <v>0</v>
      </c>
      <c r="AC69" s="276">
        <f t="shared" si="95"/>
        <v>-6.0500000254251063E-3</v>
      </c>
      <c r="AE69" s="276">
        <f t="shared" ref="AE69:AF69" si="96">AE47-AE51-AE53</f>
        <v>0</v>
      </c>
      <c r="AF69" s="276">
        <f t="shared" si="96"/>
        <v>0</v>
      </c>
      <c r="AG69" s="276">
        <f t="shared" ref="AG69:AH69" si="97">AG47-AG51-AG53</f>
        <v>0</v>
      </c>
      <c r="AH69" s="276">
        <f t="shared" si="97"/>
        <v>0</v>
      </c>
      <c r="AI69" s="276">
        <f t="shared" ref="AI69:AJ69" si="98">AI47-AI51-AI53</f>
        <v>0</v>
      </c>
      <c r="AJ69" s="276">
        <f t="shared" si="98"/>
        <v>0</v>
      </c>
      <c r="AK69" s="276">
        <f t="shared" ref="AK69" si="99">AK47-AK51-AK53</f>
        <v>0</v>
      </c>
      <c r="AM69" s="276">
        <f t="shared" ref="AM69:AS69" si="100">AM47-AM51-AM53</f>
        <v>0</v>
      </c>
      <c r="AN69" s="276">
        <f t="shared" si="100"/>
        <v>0</v>
      </c>
      <c r="AO69" s="276">
        <f t="shared" si="100"/>
        <v>0</v>
      </c>
      <c r="AP69" s="276">
        <f>AP47-AP51-AP53</f>
        <v>0</v>
      </c>
      <c r="AQ69" s="276">
        <f t="shared" si="100"/>
        <v>0</v>
      </c>
      <c r="AR69" s="276">
        <f t="shared" si="100"/>
        <v>0</v>
      </c>
      <c r="AS69" s="276">
        <f t="shared" si="100"/>
        <v>0</v>
      </c>
      <c r="AU69" s="276">
        <f>AU47-AU51-AU53</f>
        <v>0</v>
      </c>
    </row>
    <row r="70" spans="1:47" collapsed="1" x14ac:dyDescent="0.25">
      <c r="A70" s="310" t="s">
        <v>225</v>
      </c>
    </row>
    <row r="71" spans="1:47" x14ac:dyDescent="0.25">
      <c r="A71" s="310" t="s">
        <v>226</v>
      </c>
    </row>
    <row r="72" spans="1:47" x14ac:dyDescent="0.25">
      <c r="A72" s="310" t="s">
        <v>227</v>
      </c>
    </row>
    <row r="73" spans="1:47" x14ac:dyDescent="0.25">
      <c r="A73" s="310" t="s">
        <v>228</v>
      </c>
    </row>
  </sheetData>
  <mergeCells count="5">
    <mergeCell ref="AM14:AS14"/>
    <mergeCell ref="AE14:AK14"/>
    <mergeCell ref="W14:AC14"/>
    <mergeCell ref="O14:U14"/>
    <mergeCell ref="G14:M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DAD93875712F42AEFDB948C72F3347" ma:contentTypeVersion="15" ma:contentTypeDescription="Create a new document." ma:contentTypeScope="" ma:versionID="ea2c6c795e31734283bbe4b19a4dfda1">
  <xsd:schema xmlns:xsd="http://www.w3.org/2001/XMLSchema" xmlns:xs="http://www.w3.org/2001/XMLSchema" xmlns:p="http://schemas.microsoft.com/office/2006/metadata/properties" xmlns:ns2="1ac139d6-0e2d-436d-b3ca-5b62161893ea" xmlns:ns3="9d21549c-ff90-46a5-825f-c9cc2c819ef4" targetNamespace="http://schemas.microsoft.com/office/2006/metadata/properties" ma:root="true" ma:fieldsID="39d2f699b4b9ec3117433e6ae9355a68" ns2:_="" ns3:_="">
    <xsd:import namespace="1ac139d6-0e2d-436d-b3ca-5b62161893ea"/>
    <xsd:import namespace="9d21549c-ff90-46a5-825f-c9cc2c819ef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39d6-0e2d-436d-b3ca-5b6216189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289e3d4-000a-47be-8af9-8aca47267cc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21549c-ff90-46a5-825f-c9cc2c819e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c139d6-0e2d-436d-b3ca-5b62161893e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FB9266-504E-4E38-B1BF-727F076D43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39d6-0e2d-436d-b3ca-5b62161893ea"/>
    <ds:schemaRef ds:uri="9d21549c-ff90-46a5-825f-c9cc2c819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58A8F9-589D-4858-961F-E948AA2AF5D7}">
  <ds:schemaRefs>
    <ds:schemaRef ds:uri="http://schemas.microsoft.com/office/2006/metadata/properties"/>
    <ds:schemaRef ds:uri="http://schemas.microsoft.com/office/infopath/2007/PartnerControls"/>
    <ds:schemaRef ds:uri="1ac139d6-0e2d-436d-b3ca-5b62161893ea"/>
  </ds:schemaRefs>
</ds:datastoreItem>
</file>

<file path=customXml/itemProps3.xml><?xml version="1.0" encoding="utf-8"?>
<ds:datastoreItem xmlns:ds="http://schemas.openxmlformats.org/officeDocument/2006/customXml" ds:itemID="{5DA5E974-C9B3-4775-942E-251543B227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24</vt:i4>
      </vt:variant>
    </vt:vector>
  </HeadingPairs>
  <TitlesOfParts>
    <vt:vector size="57" baseType="lpstr">
      <vt:lpstr>Condensed Consolidated</vt:lpstr>
      <vt:lpstr>Corporate</vt:lpstr>
      <vt:lpstr>Current Subsidiaries</vt:lpstr>
      <vt:lpstr>Arnold Magnetic</vt:lpstr>
      <vt:lpstr>Sterno Group</vt:lpstr>
      <vt:lpstr>5.11 Tactical</vt:lpstr>
      <vt:lpstr>Velocity Outdoor</vt:lpstr>
      <vt:lpstr>Altor Solutions</vt:lpstr>
      <vt:lpstr>BOA Technology</vt:lpstr>
      <vt:lpstr>PrimaLoft</vt:lpstr>
      <vt:lpstr>THP</vt:lpstr>
      <vt:lpstr>2025 EBITDA</vt:lpstr>
      <vt:lpstr>2024 EBITDA</vt:lpstr>
      <vt:lpstr>2023 EBITDA </vt:lpstr>
      <vt:lpstr>2022 EBITDA</vt:lpstr>
      <vt:lpstr>Discops</vt:lpstr>
      <vt:lpstr>Divested Subsidiaries</vt:lpstr>
      <vt:lpstr>Lugano</vt:lpstr>
      <vt:lpstr>Ergobaby</vt:lpstr>
      <vt:lpstr>Marucci Sports</vt:lpstr>
      <vt:lpstr>Advanced Circuits</vt:lpstr>
      <vt:lpstr>Liberty Safe</vt:lpstr>
      <vt:lpstr>Clean Earth</vt:lpstr>
      <vt:lpstr>Manitoba Harvest</vt:lpstr>
      <vt:lpstr>Tridien</vt:lpstr>
      <vt:lpstr>FOX</vt:lpstr>
      <vt:lpstr>Camelbak</vt:lpstr>
      <vt:lpstr>AFM</vt:lpstr>
      <vt:lpstr>Aeroglide</vt:lpstr>
      <vt:lpstr>Staffmark</vt:lpstr>
      <vt:lpstr>Crosman</vt:lpstr>
      <vt:lpstr>HALO</vt:lpstr>
      <vt:lpstr>Silvue</vt:lpstr>
      <vt:lpstr>'2022 EBITDA'!Print_Area</vt:lpstr>
      <vt:lpstr>'2023 EBITDA '!Print_Area</vt:lpstr>
      <vt:lpstr>'2024 EBITDA'!Print_Area</vt:lpstr>
      <vt:lpstr>'2025 EBITDA'!Print_Area</vt:lpstr>
      <vt:lpstr>'5.11 Tactical'!Print_Area</vt:lpstr>
      <vt:lpstr>'Advanced Circuits'!Print_Area</vt:lpstr>
      <vt:lpstr>Aeroglide!Print_Area</vt:lpstr>
      <vt:lpstr>AFM!Print_Area</vt:lpstr>
      <vt:lpstr>'Arnold Magnetic'!Print_Area</vt:lpstr>
      <vt:lpstr>Camelbak!Print_Area</vt:lpstr>
      <vt:lpstr>'Clean Earth'!Print_Area</vt:lpstr>
      <vt:lpstr>'Condensed Consolidated'!Print_Area</vt:lpstr>
      <vt:lpstr>Corporate!Print_Area</vt:lpstr>
      <vt:lpstr>Crosman!Print_Area</vt:lpstr>
      <vt:lpstr>Discops!Print_Area</vt:lpstr>
      <vt:lpstr>Ergobaby!Print_Area</vt:lpstr>
      <vt:lpstr>FOX!Print_Area</vt:lpstr>
      <vt:lpstr>HALO!Print_Area</vt:lpstr>
      <vt:lpstr>'Liberty Safe'!Print_Area</vt:lpstr>
      <vt:lpstr>'Manitoba Harvest'!Print_Area</vt:lpstr>
      <vt:lpstr>Silvue!Print_Area</vt:lpstr>
      <vt:lpstr>Staffmark!Print_Area</vt:lpstr>
      <vt:lpstr>'Sterno Group'!Print_Area</vt:lpstr>
      <vt:lpstr>Tridien!Print_Area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Gasiewski</dc:creator>
  <cp:lastModifiedBy>Ben Avenia-Tapper</cp:lastModifiedBy>
  <cp:lastPrinted>2022-11-03T13:20:51Z</cp:lastPrinted>
  <dcterms:created xsi:type="dcterms:W3CDTF">2016-05-03T19:02:50Z</dcterms:created>
  <dcterms:modified xsi:type="dcterms:W3CDTF">2026-05-06T18:19:13Z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0x0101008FDAD93875712F42AEFDB948C72F3347</vt:lpwstr>
  </property>
  <property fmtid="{D5CDD505-2E9C-101B-9397-08002B2CF9AE}" pid="5" name="MediaServiceImageTags">
    <vt:lpwstr/>
  </property>
</Properties>
</file>